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Mgmt\Erickson\AOSA\2024\proposals\"/>
    </mc:Choice>
  </mc:AlternateContent>
  <xr:revisionPtr revIDLastSave="0" documentId="8_{08B85FBE-D80E-4FFA-B9A8-10435EE946F2}" xr6:coauthVersionLast="47" xr6:coauthVersionMax="47" xr10:uidLastSave="{00000000-0000-0000-0000-000000000000}"/>
  <bookViews>
    <workbookView xWindow="19080" yWindow="-120" windowWidth="19440" windowHeight="15000" activeTab="1" xr2:uid="{320CD365-28E7-4654-89D7-959985E1EC02}"/>
  </bookViews>
  <sheets>
    <sheet name="Sample Numbers" sheetId="1" r:id="rId1"/>
    <sheet name="Seed Counts" sheetId="2" r:id="rId2"/>
    <sheet name="PW Calculator - Sorghum Set 1" sheetId="7" r:id="rId3"/>
    <sheet name="PW Calculator - Sorghum Set 2" sheetId="8" r:id="rId4"/>
    <sheet name="PW Calculator - Sor-Sud Set 1" sheetId="9" r:id="rId5"/>
    <sheet name="PW Calculator - Sor-Sud Set 2" sheetId="6" r:id="rId6"/>
  </sheets>
  <definedNames>
    <definedName name="_xlnm._FilterDatabase" localSheetId="2" hidden="1">'PW Calculator - Sorghum Set 1'!#REF!</definedName>
    <definedName name="_xlnm._FilterDatabase" localSheetId="3" hidden="1">'PW Calculator - Sorghum Set 2'!#REF!</definedName>
    <definedName name="_xlnm._FilterDatabase" localSheetId="4" hidden="1">'PW Calculator - Sor-Sud Set 1'!#REF!</definedName>
    <definedName name="_xlnm._FilterDatabase" localSheetId="5" hidden="1">'PW Calculator - Sor-Sud Set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 i="9" l="1"/>
  <c r="O4" i="9"/>
  <c r="O5" i="9"/>
  <c r="O6" i="9"/>
  <c r="S6" i="9"/>
  <c r="T6" i="9"/>
  <c r="U6" i="9" s="1"/>
  <c r="O7" i="9"/>
  <c r="S7" i="9"/>
  <c r="T7" i="9"/>
  <c r="U7" i="9"/>
  <c r="O8" i="9"/>
  <c r="S8" i="9"/>
  <c r="T8" i="9"/>
  <c r="U8" i="9" s="1"/>
  <c r="O9" i="9"/>
  <c r="S9" i="9"/>
  <c r="T9" i="9"/>
  <c r="U9" i="9" s="1"/>
  <c r="O10" i="9"/>
  <c r="S10" i="9"/>
  <c r="T10" i="9"/>
  <c r="U10" i="9" s="1"/>
  <c r="O11" i="9"/>
  <c r="S11" i="9"/>
  <c r="T11" i="9"/>
  <c r="U11" i="9"/>
  <c r="O12" i="9"/>
  <c r="S12" i="9"/>
  <c r="T12" i="9"/>
  <c r="U12" i="9" s="1"/>
  <c r="O13" i="9"/>
  <c r="S13" i="9"/>
  <c r="T13" i="9"/>
  <c r="U13" i="9"/>
  <c r="O14" i="9"/>
  <c r="S14" i="9"/>
  <c r="T14" i="9"/>
  <c r="U14" i="9" s="1"/>
  <c r="O15" i="9"/>
  <c r="S15" i="9"/>
  <c r="T15" i="9"/>
  <c r="U15" i="9" s="1"/>
  <c r="O16" i="9"/>
  <c r="S16" i="9"/>
  <c r="T16" i="9"/>
  <c r="U16" i="9" s="1"/>
  <c r="O17" i="9"/>
  <c r="S17" i="9"/>
  <c r="T17" i="9"/>
  <c r="U17" i="9" s="1"/>
  <c r="O18" i="9"/>
  <c r="S18" i="9"/>
  <c r="T18" i="9"/>
  <c r="U18" i="9" s="1"/>
  <c r="O19" i="9"/>
  <c r="S19" i="9"/>
  <c r="T19" i="9"/>
  <c r="U19" i="9" s="1"/>
  <c r="O20" i="9"/>
  <c r="S20" i="9"/>
  <c r="T20" i="9"/>
  <c r="U20" i="9" s="1"/>
  <c r="O21" i="9"/>
  <c r="S21" i="9"/>
  <c r="T21" i="9"/>
  <c r="U21" i="9" s="1"/>
  <c r="O22" i="9"/>
  <c r="S22" i="9"/>
  <c r="T22" i="9"/>
  <c r="U22" i="9" s="1"/>
  <c r="J23" i="9"/>
  <c r="J24" i="9" s="1"/>
  <c r="O23" i="9"/>
  <c r="S23" i="9"/>
  <c r="T23" i="9"/>
  <c r="U23" i="9" s="1"/>
  <c r="S24" i="9"/>
  <c r="T24" i="9"/>
  <c r="U24" i="9" s="1"/>
  <c r="S25" i="9"/>
  <c r="T25" i="9"/>
  <c r="U25" i="9" s="1"/>
  <c r="P27" i="9"/>
  <c r="T61" i="9" s="1"/>
  <c r="T63" i="9" s="1"/>
  <c r="J33" i="9"/>
  <c r="J34" i="9" s="1"/>
  <c r="P36" i="9"/>
  <c r="J45" i="9"/>
  <c r="L6" i="9" s="1"/>
  <c r="J48" i="9"/>
  <c r="J55" i="9"/>
  <c r="J56" i="9"/>
  <c r="I59" i="9"/>
  <c r="J21" i="9" s="1"/>
  <c r="I60" i="9"/>
  <c r="I62" i="9"/>
  <c r="T62" i="9"/>
  <c r="T65" i="9" s="1"/>
  <c r="T71" i="9" s="1"/>
  <c r="H63" i="9"/>
  <c r="K77" i="9" s="1"/>
  <c r="K108" i="9" s="1"/>
  <c r="I63" i="9"/>
  <c r="H64" i="9"/>
  <c r="T64" i="9"/>
  <c r="P25" i="9" s="1"/>
  <c r="H65" i="9"/>
  <c r="H66" i="9"/>
  <c r="H67" i="9"/>
  <c r="H68" i="9"/>
  <c r="H69" i="9"/>
  <c r="H70" i="9"/>
  <c r="T70" i="9"/>
  <c r="H71" i="9"/>
  <c r="H72" i="9"/>
  <c r="H73" i="9"/>
  <c r="P73" i="9"/>
  <c r="H74" i="9"/>
  <c r="P74" i="9"/>
  <c r="H75" i="9"/>
  <c r="P75" i="9"/>
  <c r="H76" i="9"/>
  <c r="K72" i="9" s="1"/>
  <c r="K103" i="9" s="1"/>
  <c r="H77" i="9"/>
  <c r="H78" i="9"/>
  <c r="P79" i="9"/>
  <c r="P81" i="9" s="1"/>
  <c r="P82" i="9" s="1"/>
  <c r="P80" i="9"/>
  <c r="K144" i="9"/>
  <c r="K145" i="9"/>
  <c r="K146" i="9"/>
  <c r="K147" i="9"/>
  <c r="K148" i="9"/>
  <c r="K149" i="9"/>
  <c r="K151" i="9"/>
  <c r="K152" i="9"/>
  <c r="K153" i="9"/>
  <c r="U2" i="8"/>
  <c r="U7" i="8" s="1"/>
  <c r="O4" i="8"/>
  <c r="O5" i="8"/>
  <c r="O6" i="8"/>
  <c r="S6" i="8"/>
  <c r="T6" i="8"/>
  <c r="L7" i="8"/>
  <c r="O7" i="8"/>
  <c r="S7" i="8"/>
  <c r="T7" i="8"/>
  <c r="O8" i="8"/>
  <c r="S8" i="8"/>
  <c r="T8" i="8"/>
  <c r="L9" i="8"/>
  <c r="O9" i="8"/>
  <c r="S9" i="8"/>
  <c r="T9" i="8"/>
  <c r="O10" i="8"/>
  <c r="S10" i="8"/>
  <c r="T10" i="8"/>
  <c r="L11" i="8"/>
  <c r="O11" i="8"/>
  <c r="S11" i="8"/>
  <c r="T11" i="8"/>
  <c r="O12" i="8"/>
  <c r="S12" i="8"/>
  <c r="T12" i="8"/>
  <c r="L13" i="8"/>
  <c r="O13" i="8"/>
  <c r="S13" i="8"/>
  <c r="T13" i="8"/>
  <c r="O14" i="8"/>
  <c r="S14" i="8"/>
  <c r="T14" i="8"/>
  <c r="U14" i="8" s="1"/>
  <c r="L15" i="8"/>
  <c r="O15" i="8"/>
  <c r="S15" i="8"/>
  <c r="T15" i="8"/>
  <c r="U15" i="8"/>
  <c r="O16" i="8"/>
  <c r="S16" i="8"/>
  <c r="T16" i="8"/>
  <c r="U16" i="8" s="1"/>
  <c r="L17" i="8"/>
  <c r="O17" i="8"/>
  <c r="S17" i="8"/>
  <c r="T17" i="8"/>
  <c r="U17" i="8"/>
  <c r="O18" i="8"/>
  <c r="S18" i="8"/>
  <c r="T18" i="8"/>
  <c r="U18" i="8" s="1"/>
  <c r="L19" i="8"/>
  <c r="O19" i="8"/>
  <c r="S19" i="8"/>
  <c r="T19" i="8"/>
  <c r="U19" i="8"/>
  <c r="O20" i="8"/>
  <c r="S20" i="8"/>
  <c r="T20" i="8"/>
  <c r="U20" i="8"/>
  <c r="O21" i="8"/>
  <c r="S21" i="8"/>
  <c r="T21" i="8"/>
  <c r="U21" i="8" s="1"/>
  <c r="O22" i="8"/>
  <c r="S22" i="8"/>
  <c r="T22" i="8"/>
  <c r="J23" i="8"/>
  <c r="J24" i="8" s="1"/>
  <c r="O23" i="8"/>
  <c r="S23" i="8"/>
  <c r="T23" i="8"/>
  <c r="S24" i="8"/>
  <c r="T24" i="8"/>
  <c r="U24" i="8" s="1"/>
  <c r="S25" i="8"/>
  <c r="T25" i="8"/>
  <c r="J26" i="8"/>
  <c r="J27" i="8"/>
  <c r="P27" i="8"/>
  <c r="T61" i="8" s="1"/>
  <c r="T63" i="8" s="1"/>
  <c r="J33" i="8"/>
  <c r="J34" i="8"/>
  <c r="P36" i="8"/>
  <c r="J45" i="8"/>
  <c r="L6" i="8" s="1"/>
  <c r="J55" i="8"/>
  <c r="J56" i="8" s="1"/>
  <c r="I59" i="8"/>
  <c r="I60" i="8"/>
  <c r="I62" i="8"/>
  <c r="T62" i="8"/>
  <c r="T65" i="8" s="1"/>
  <c r="T71" i="8" s="1"/>
  <c r="H63" i="8"/>
  <c r="I63" i="8"/>
  <c r="H64" i="8"/>
  <c r="T64" i="8"/>
  <c r="P25" i="8" s="1"/>
  <c r="H65" i="8"/>
  <c r="H66" i="8"/>
  <c r="H67" i="8"/>
  <c r="H68" i="8"/>
  <c r="H69" i="8"/>
  <c r="H70" i="8"/>
  <c r="H71" i="8"/>
  <c r="H72" i="8"/>
  <c r="H73" i="8"/>
  <c r="P73" i="8"/>
  <c r="H74" i="8"/>
  <c r="P74" i="8"/>
  <c r="H75" i="8"/>
  <c r="P75" i="8"/>
  <c r="H76" i="8"/>
  <c r="H77" i="8"/>
  <c r="H78" i="8"/>
  <c r="P79" i="8"/>
  <c r="P80" i="8"/>
  <c r="P81" i="8"/>
  <c r="P82" i="8" s="1"/>
  <c r="K144" i="8"/>
  <c r="K148" i="8" s="1"/>
  <c r="K145" i="8"/>
  <c r="K146" i="8"/>
  <c r="K147" i="8"/>
  <c r="K149" i="8"/>
  <c r="K151" i="8"/>
  <c r="K152" i="8" s="1"/>
  <c r="K154" i="8" s="1"/>
  <c r="K155" i="8" s="1"/>
  <c r="K153" i="8"/>
  <c r="U2" i="7"/>
  <c r="O4" i="7"/>
  <c r="O5" i="7"/>
  <c r="O6" i="7"/>
  <c r="S6" i="7"/>
  <c r="T6" i="7"/>
  <c r="U6" i="7" s="1"/>
  <c r="O7" i="7"/>
  <c r="S7" i="7"/>
  <c r="T7" i="7"/>
  <c r="U7" i="7"/>
  <c r="O8" i="7"/>
  <c r="S8" i="7"/>
  <c r="T8" i="7"/>
  <c r="U8" i="7" s="1"/>
  <c r="O9" i="7"/>
  <c r="S9" i="7"/>
  <c r="T9" i="7"/>
  <c r="U9" i="7" s="1"/>
  <c r="O10" i="7"/>
  <c r="S10" i="7"/>
  <c r="T10" i="7"/>
  <c r="U10" i="7" s="1"/>
  <c r="O11" i="7"/>
  <c r="S11" i="7"/>
  <c r="T11" i="7"/>
  <c r="U11" i="7"/>
  <c r="O12" i="7"/>
  <c r="S12" i="7"/>
  <c r="T12" i="7"/>
  <c r="U12" i="7" s="1"/>
  <c r="O13" i="7"/>
  <c r="S13" i="7"/>
  <c r="T13" i="7"/>
  <c r="U13" i="7"/>
  <c r="O14" i="7"/>
  <c r="S14" i="7"/>
  <c r="T14" i="7"/>
  <c r="U14" i="7" s="1"/>
  <c r="O15" i="7"/>
  <c r="S15" i="7"/>
  <c r="T15" i="7"/>
  <c r="U15" i="7" s="1"/>
  <c r="O16" i="7"/>
  <c r="S16" i="7"/>
  <c r="T16" i="7"/>
  <c r="U16" i="7" s="1"/>
  <c r="O17" i="7"/>
  <c r="S17" i="7"/>
  <c r="T17" i="7"/>
  <c r="U17" i="7" s="1"/>
  <c r="O18" i="7"/>
  <c r="S18" i="7"/>
  <c r="T18" i="7"/>
  <c r="U18" i="7" s="1"/>
  <c r="O19" i="7"/>
  <c r="S19" i="7"/>
  <c r="T19" i="7"/>
  <c r="U19" i="7"/>
  <c r="O20" i="7"/>
  <c r="S20" i="7"/>
  <c r="T20" i="7"/>
  <c r="U20" i="7"/>
  <c r="O21" i="7"/>
  <c r="S21" i="7"/>
  <c r="T21" i="7"/>
  <c r="U21" i="7" s="1"/>
  <c r="O22" i="7"/>
  <c r="S22" i="7"/>
  <c r="T22" i="7"/>
  <c r="U22" i="7" s="1"/>
  <c r="J23" i="7"/>
  <c r="J24" i="7" s="1"/>
  <c r="O23" i="7"/>
  <c r="S23" i="7"/>
  <c r="T23" i="7"/>
  <c r="U23" i="7" s="1"/>
  <c r="S24" i="7"/>
  <c r="T24" i="7"/>
  <c r="U24" i="7" s="1"/>
  <c r="S25" i="7"/>
  <c r="T25" i="7"/>
  <c r="U25" i="7" s="1"/>
  <c r="J26" i="7"/>
  <c r="J27" i="7"/>
  <c r="P27" i="7"/>
  <c r="J33" i="7"/>
  <c r="J34" i="7" s="1"/>
  <c r="P36" i="7"/>
  <c r="J45" i="7"/>
  <c r="L6" i="7" s="1"/>
  <c r="J55" i="7"/>
  <c r="J56" i="7" s="1"/>
  <c r="I59" i="7"/>
  <c r="J21" i="7" s="1"/>
  <c r="I60" i="7"/>
  <c r="T61" i="7"/>
  <c r="T63" i="7" s="1"/>
  <c r="I62" i="7"/>
  <c r="T62" i="7"/>
  <c r="T65" i="7" s="1"/>
  <c r="T71" i="7" s="1"/>
  <c r="H63" i="7"/>
  <c r="I63" i="7"/>
  <c r="H64" i="7"/>
  <c r="T64" i="7"/>
  <c r="T70" i="7" s="1"/>
  <c r="H65" i="7"/>
  <c r="H66" i="7"/>
  <c r="H67" i="7"/>
  <c r="H68" i="7"/>
  <c r="H69" i="7"/>
  <c r="H70" i="7"/>
  <c r="H71" i="7"/>
  <c r="H72" i="7"/>
  <c r="H73" i="7"/>
  <c r="P73" i="7"/>
  <c r="H74" i="7"/>
  <c r="P74" i="7"/>
  <c r="H75" i="7"/>
  <c r="P75" i="7"/>
  <c r="H76" i="7"/>
  <c r="H77" i="7"/>
  <c r="H78" i="7"/>
  <c r="P79" i="7"/>
  <c r="P81" i="7" s="1"/>
  <c r="P82" i="7" s="1"/>
  <c r="P80" i="7"/>
  <c r="K144" i="7"/>
  <c r="K148" i="7" s="1"/>
  <c r="K145" i="7"/>
  <c r="K146" i="7"/>
  <c r="K147" i="7"/>
  <c r="K149" i="7"/>
  <c r="K151" i="7"/>
  <c r="K152" i="7"/>
  <c r="K153" i="7"/>
  <c r="U2" i="6"/>
  <c r="O4" i="6"/>
  <c r="O5" i="6"/>
  <c r="O6" i="6"/>
  <c r="S6" i="6"/>
  <c r="T6" i="6"/>
  <c r="U6" i="6"/>
  <c r="O7" i="6"/>
  <c r="S7" i="6"/>
  <c r="T7" i="6"/>
  <c r="U7" i="6"/>
  <c r="O8" i="6"/>
  <c r="S8" i="6"/>
  <c r="T8" i="6"/>
  <c r="U8" i="6"/>
  <c r="O9" i="6"/>
  <c r="S9" i="6"/>
  <c r="T9" i="6"/>
  <c r="U9" i="6"/>
  <c r="O10" i="6"/>
  <c r="S10" i="6"/>
  <c r="T10" i="6"/>
  <c r="U10" i="6"/>
  <c r="O11" i="6"/>
  <c r="S11" i="6"/>
  <c r="T11" i="6"/>
  <c r="U11" i="6"/>
  <c r="O12" i="6"/>
  <c r="S12" i="6"/>
  <c r="T12" i="6"/>
  <c r="U12" i="6"/>
  <c r="O13" i="6"/>
  <c r="S13" i="6"/>
  <c r="T13" i="6"/>
  <c r="U13" i="6"/>
  <c r="O14" i="6"/>
  <c r="S14" i="6"/>
  <c r="T14" i="6"/>
  <c r="U14" i="6"/>
  <c r="O15" i="6"/>
  <c r="S15" i="6"/>
  <c r="T15" i="6"/>
  <c r="U15" i="6"/>
  <c r="O16" i="6"/>
  <c r="S16" i="6"/>
  <c r="T16" i="6"/>
  <c r="U16" i="6"/>
  <c r="O17" i="6"/>
  <c r="S17" i="6"/>
  <c r="T17" i="6"/>
  <c r="U17" i="6"/>
  <c r="O18" i="6"/>
  <c r="S18" i="6"/>
  <c r="T18" i="6"/>
  <c r="U18" i="6"/>
  <c r="O19" i="6"/>
  <c r="S19" i="6"/>
  <c r="T19" i="6"/>
  <c r="U19" i="6"/>
  <c r="O20" i="6"/>
  <c r="S20" i="6"/>
  <c r="T20" i="6"/>
  <c r="U20" i="6"/>
  <c r="O21" i="6"/>
  <c r="S21" i="6"/>
  <c r="T21" i="6"/>
  <c r="O22" i="6"/>
  <c r="S22" i="6"/>
  <c r="T22" i="6"/>
  <c r="J23" i="6"/>
  <c r="J24" i="6" s="1"/>
  <c r="O23" i="6"/>
  <c r="S23" i="6"/>
  <c r="T23" i="6"/>
  <c r="U23" i="6" s="1"/>
  <c r="S24" i="6"/>
  <c r="T24" i="6"/>
  <c r="U24" i="6"/>
  <c r="S25" i="6"/>
  <c r="T25" i="6"/>
  <c r="P27" i="6"/>
  <c r="T61" i="6" s="1"/>
  <c r="T63" i="6" s="1"/>
  <c r="J33" i="6"/>
  <c r="J34" i="6" s="1"/>
  <c r="P36" i="6"/>
  <c r="J45" i="6"/>
  <c r="L6" i="6" s="1"/>
  <c r="J49" i="6"/>
  <c r="J55" i="6"/>
  <c r="J56" i="6" s="1"/>
  <c r="I59" i="6"/>
  <c r="J21" i="6" s="1"/>
  <c r="I60" i="6"/>
  <c r="J36" i="6" s="1"/>
  <c r="I62" i="6"/>
  <c r="T62" i="6"/>
  <c r="T65" i="6" s="1"/>
  <c r="T71" i="6" s="1"/>
  <c r="H63" i="6"/>
  <c r="I63" i="6"/>
  <c r="H64" i="6"/>
  <c r="T64" i="6"/>
  <c r="P25" i="6" s="1"/>
  <c r="H65" i="6"/>
  <c r="H66" i="6"/>
  <c r="H67" i="6"/>
  <c r="K71" i="6" s="1"/>
  <c r="K102" i="6" s="1"/>
  <c r="H68" i="6"/>
  <c r="H69" i="6"/>
  <c r="H70" i="6"/>
  <c r="H71" i="6"/>
  <c r="H72" i="6"/>
  <c r="H73" i="6"/>
  <c r="P73" i="6"/>
  <c r="H74" i="6"/>
  <c r="P74" i="6"/>
  <c r="H75" i="6"/>
  <c r="K73" i="6" s="1"/>
  <c r="K104" i="6" s="1"/>
  <c r="P75" i="6"/>
  <c r="H76" i="6"/>
  <c r="H77" i="6"/>
  <c r="H78" i="6"/>
  <c r="P79" i="6"/>
  <c r="P80" i="6"/>
  <c r="P81" i="6" s="1"/>
  <c r="P82" i="6" s="1"/>
  <c r="K81" i="6"/>
  <c r="K112" i="6" s="1"/>
  <c r="K144" i="6"/>
  <c r="K145" i="6"/>
  <c r="K146" i="6"/>
  <c r="K148" i="6" s="1"/>
  <c r="K147" i="6"/>
  <c r="K149" i="6" s="1"/>
  <c r="K151" i="6"/>
  <c r="K153" i="6" s="1"/>
  <c r="K152" i="6"/>
  <c r="K154" i="6" s="1"/>
  <c r="K155" i="6" s="1"/>
  <c r="U13" i="8" l="1"/>
  <c r="U11" i="8"/>
  <c r="U9" i="8"/>
  <c r="U12" i="8"/>
  <c r="U10" i="8"/>
  <c r="U8" i="8"/>
  <c r="U6" i="8"/>
  <c r="U25" i="8"/>
  <c r="U23" i="8"/>
  <c r="U22" i="8"/>
  <c r="J49" i="8"/>
  <c r="J48" i="8"/>
  <c r="J21" i="8"/>
  <c r="K77" i="8"/>
  <c r="K108" i="8" s="1"/>
  <c r="J47" i="8"/>
  <c r="T70" i="8"/>
  <c r="K77" i="7"/>
  <c r="K108" i="7" s="1"/>
  <c r="K72" i="7"/>
  <c r="K103" i="7" s="1"/>
  <c r="K71" i="7"/>
  <c r="K102" i="7" s="1"/>
  <c r="K150" i="9"/>
  <c r="K71" i="9"/>
  <c r="K102" i="9" s="1"/>
  <c r="P76" i="9"/>
  <c r="K154" i="9"/>
  <c r="K155" i="9" s="1"/>
  <c r="J27" i="9"/>
  <c r="J36" i="9"/>
  <c r="J49" i="9"/>
  <c r="T72" i="9"/>
  <c r="P29" i="9" s="1"/>
  <c r="T73" i="9"/>
  <c r="K69" i="9"/>
  <c r="K100" i="9" s="1"/>
  <c r="K81" i="9"/>
  <c r="K112" i="9" s="1"/>
  <c r="K79" i="9"/>
  <c r="K110" i="9" s="1"/>
  <c r="K74" i="9"/>
  <c r="K105" i="9" s="1"/>
  <c r="K73" i="9"/>
  <c r="K104" i="9" s="1"/>
  <c r="J47" i="9"/>
  <c r="J26" i="9"/>
  <c r="L19" i="9"/>
  <c r="L17" i="9"/>
  <c r="L15" i="9"/>
  <c r="L13" i="9"/>
  <c r="L11" i="9"/>
  <c r="L9" i="9"/>
  <c r="L7" i="9"/>
  <c r="L4" i="9"/>
  <c r="K78" i="9"/>
  <c r="K109" i="9" s="1"/>
  <c r="K75" i="9"/>
  <c r="K106" i="9" s="1"/>
  <c r="K70" i="9"/>
  <c r="K101" i="9" s="1"/>
  <c r="K68" i="9"/>
  <c r="K99" i="9" s="1"/>
  <c r="K66" i="9"/>
  <c r="J50" i="9"/>
  <c r="J46" i="9"/>
  <c r="J28" i="9"/>
  <c r="J25" i="9"/>
  <c r="L5" i="9"/>
  <c r="K67" i="9"/>
  <c r="K98" i="9" s="1"/>
  <c r="K80" i="9"/>
  <c r="K111" i="9" s="1"/>
  <c r="K76" i="9"/>
  <c r="K107" i="9" s="1"/>
  <c r="L18" i="9"/>
  <c r="L16" i="9"/>
  <c r="L14" i="9"/>
  <c r="L12" i="9"/>
  <c r="L10" i="9"/>
  <c r="L8" i="9"/>
  <c r="K66" i="8"/>
  <c r="L4" i="8"/>
  <c r="P76" i="8"/>
  <c r="K72" i="8"/>
  <c r="K103" i="8" s="1"/>
  <c r="K74" i="8"/>
  <c r="K105" i="8" s="1"/>
  <c r="K71" i="8"/>
  <c r="K102" i="8" s="1"/>
  <c r="T72" i="8"/>
  <c r="P29" i="8" s="1"/>
  <c r="K150" i="8"/>
  <c r="K156" i="8" s="1"/>
  <c r="K69" i="8"/>
  <c r="K100" i="8" s="1"/>
  <c r="K67" i="8"/>
  <c r="K98" i="8" s="1"/>
  <c r="K79" i="8"/>
  <c r="K110" i="8" s="1"/>
  <c r="K73" i="8"/>
  <c r="K104" i="8" s="1"/>
  <c r="K78" i="8"/>
  <c r="K109" i="8" s="1"/>
  <c r="K75" i="8"/>
  <c r="K106" i="8" s="1"/>
  <c r="K70" i="8"/>
  <c r="K101" i="8" s="1"/>
  <c r="K68" i="8"/>
  <c r="K99" i="8" s="1"/>
  <c r="J50" i="8"/>
  <c r="J46" i="8"/>
  <c r="J28" i="8"/>
  <c r="J25" i="8"/>
  <c r="L5" i="8"/>
  <c r="K81" i="8"/>
  <c r="K112" i="8" s="1"/>
  <c r="K80" i="8"/>
  <c r="K111" i="8" s="1"/>
  <c r="K76" i="8"/>
  <c r="K107" i="8" s="1"/>
  <c r="T73" i="8"/>
  <c r="J36" i="8"/>
  <c r="L18" i="8"/>
  <c r="L16" i="8"/>
  <c r="L14" i="8"/>
  <c r="L12" i="8"/>
  <c r="L10" i="8"/>
  <c r="L8" i="8"/>
  <c r="P76" i="7"/>
  <c r="P25" i="7"/>
  <c r="J48" i="7"/>
  <c r="K150" i="7"/>
  <c r="K156" i="7" s="1"/>
  <c r="J36" i="7"/>
  <c r="J49" i="7"/>
  <c r="K154" i="7"/>
  <c r="K155" i="7" s="1"/>
  <c r="J47" i="7"/>
  <c r="T72" i="7"/>
  <c r="P29" i="7" s="1"/>
  <c r="K67" i="7"/>
  <c r="K98" i="7" s="1"/>
  <c r="K81" i="7"/>
  <c r="K112" i="7" s="1"/>
  <c r="K79" i="7"/>
  <c r="K110" i="7" s="1"/>
  <c r="K74" i="7"/>
  <c r="K105" i="7" s="1"/>
  <c r="K73" i="7"/>
  <c r="K104" i="7" s="1"/>
  <c r="L19" i="7"/>
  <c r="L17" i="7"/>
  <c r="L15" i="7"/>
  <c r="L13" i="7"/>
  <c r="L11" i="7"/>
  <c r="L9" i="7"/>
  <c r="L7" i="7"/>
  <c r="L4" i="7"/>
  <c r="K69" i="7"/>
  <c r="K100" i="7" s="1"/>
  <c r="K78" i="7"/>
  <c r="K109" i="7" s="1"/>
  <c r="K75" i="7"/>
  <c r="K106" i="7" s="1"/>
  <c r="K70" i="7"/>
  <c r="K101" i="7" s="1"/>
  <c r="K68" i="7"/>
  <c r="K99" i="7" s="1"/>
  <c r="K66" i="7"/>
  <c r="J50" i="7"/>
  <c r="J46" i="7"/>
  <c r="J28" i="7"/>
  <c r="J25" i="7"/>
  <c r="L5" i="7"/>
  <c r="K80" i="7"/>
  <c r="K111" i="7" s="1"/>
  <c r="K76" i="7"/>
  <c r="K107" i="7" s="1"/>
  <c r="T73" i="7"/>
  <c r="L18" i="7"/>
  <c r="L16" i="7"/>
  <c r="L14" i="7"/>
  <c r="L12" i="7"/>
  <c r="L10" i="7"/>
  <c r="L8" i="7"/>
  <c r="K75" i="6"/>
  <c r="K106" i="6" s="1"/>
  <c r="K72" i="6"/>
  <c r="K103" i="6" s="1"/>
  <c r="K66" i="6"/>
  <c r="K67" i="6"/>
  <c r="K98" i="6" s="1"/>
  <c r="K79" i="6"/>
  <c r="K110" i="6" s="1"/>
  <c r="P76" i="6"/>
  <c r="U25" i="6"/>
  <c r="K150" i="6"/>
  <c r="K156" i="6" s="1"/>
  <c r="K74" i="6"/>
  <c r="K105" i="6" s="1"/>
  <c r="K78" i="6"/>
  <c r="K109" i="6" s="1"/>
  <c r="K70" i="6"/>
  <c r="K101" i="6" s="1"/>
  <c r="K68" i="6"/>
  <c r="K99" i="6" s="1"/>
  <c r="K80" i="6"/>
  <c r="K111" i="6" s="1"/>
  <c r="K76" i="6"/>
  <c r="K107" i="6" s="1"/>
  <c r="K77" i="6"/>
  <c r="K108" i="6" s="1"/>
  <c r="K69" i="6"/>
  <c r="K100" i="6" s="1"/>
  <c r="J48" i="6"/>
  <c r="J27" i="6"/>
  <c r="U22" i="6"/>
  <c r="U21" i="6"/>
  <c r="T70" i="6"/>
  <c r="T72" i="6" s="1"/>
  <c r="P29" i="6" s="1"/>
  <c r="J47" i="6"/>
  <c r="J26" i="6"/>
  <c r="L19" i="6"/>
  <c r="L17" i="6"/>
  <c r="L15" i="6"/>
  <c r="L13" i="6"/>
  <c r="L11" i="6"/>
  <c r="L9" i="6"/>
  <c r="L7" i="6"/>
  <c r="L4" i="6"/>
  <c r="J50" i="6"/>
  <c r="J46" i="6"/>
  <c r="J28" i="6"/>
  <c r="J25" i="6"/>
  <c r="L5" i="6"/>
  <c r="L18" i="6"/>
  <c r="L16" i="6"/>
  <c r="L14" i="6"/>
  <c r="L12" i="6"/>
  <c r="L10" i="6"/>
  <c r="L8" i="6"/>
  <c r="K8" i="8" l="1"/>
  <c r="K10" i="9"/>
  <c r="K156" i="9"/>
  <c r="K18" i="9"/>
  <c r="K17" i="9"/>
  <c r="K86" i="9"/>
  <c r="K90" i="9"/>
  <c r="K85" i="9"/>
  <c r="K83" i="9"/>
  <c r="K87" i="9" s="1"/>
  <c r="K84" i="9"/>
  <c r="K11" i="9"/>
  <c r="K19" i="9"/>
  <c r="K14" i="9"/>
  <c r="K4" i="9"/>
  <c r="K13" i="9"/>
  <c r="P31" i="9"/>
  <c r="P32" i="9"/>
  <c r="P30" i="9"/>
  <c r="K5" i="9"/>
  <c r="K9" i="9"/>
  <c r="K12" i="9"/>
  <c r="K8" i="9"/>
  <c r="K16" i="9"/>
  <c r="K117" i="9"/>
  <c r="K121" i="9"/>
  <c r="K116" i="9"/>
  <c r="K114" i="9"/>
  <c r="K118" i="9" s="1"/>
  <c r="K115" i="9"/>
  <c r="K7" i="9"/>
  <c r="K15" i="9"/>
  <c r="K6" i="9"/>
  <c r="K16" i="8"/>
  <c r="K4" i="8"/>
  <c r="K6" i="8"/>
  <c r="K12" i="8"/>
  <c r="K117" i="8"/>
  <c r="K121" i="8"/>
  <c r="K116" i="8"/>
  <c r="K114" i="8"/>
  <c r="K118" i="8" s="1"/>
  <c r="K115" i="8"/>
  <c r="K84" i="8"/>
  <c r="K86" i="8"/>
  <c r="K13" i="8"/>
  <c r="K85" i="8"/>
  <c r="K9" i="8"/>
  <c r="K17" i="8"/>
  <c r="K10" i="8"/>
  <c r="K18" i="8"/>
  <c r="K90" i="8"/>
  <c r="K11" i="8"/>
  <c r="K19" i="8"/>
  <c r="K14" i="8"/>
  <c r="K5" i="8"/>
  <c r="K83" i="8"/>
  <c r="K7" i="8"/>
  <c r="K15" i="8"/>
  <c r="P31" i="8"/>
  <c r="P32" i="8"/>
  <c r="P30" i="8"/>
  <c r="K14" i="7"/>
  <c r="K11" i="7"/>
  <c r="K4" i="7"/>
  <c r="K13" i="7"/>
  <c r="K117" i="7"/>
  <c r="K121" i="7"/>
  <c r="K114" i="7"/>
  <c r="K116" i="7"/>
  <c r="K115" i="7"/>
  <c r="K19" i="7"/>
  <c r="K8" i="7"/>
  <c r="K18" i="7"/>
  <c r="K5" i="7"/>
  <c r="K7" i="7"/>
  <c r="K15" i="7"/>
  <c r="P31" i="7"/>
  <c r="P32" i="7"/>
  <c r="P30" i="7"/>
  <c r="K16" i="7"/>
  <c r="K10" i="7"/>
  <c r="K12" i="7"/>
  <c r="K86" i="7"/>
  <c r="K90" i="7"/>
  <c r="K83" i="7"/>
  <c r="K85" i="7"/>
  <c r="K84" i="7"/>
  <c r="K9" i="7"/>
  <c r="K17" i="7"/>
  <c r="K6" i="7"/>
  <c r="T73" i="6"/>
  <c r="K8" i="6"/>
  <c r="K16" i="6"/>
  <c r="K6" i="6"/>
  <c r="K116" i="6"/>
  <c r="P31" i="6"/>
  <c r="P32" i="6"/>
  <c r="P30" i="6"/>
  <c r="K7" i="6"/>
  <c r="K10" i="6"/>
  <c r="K9" i="6"/>
  <c r="K17" i="6"/>
  <c r="K84" i="6"/>
  <c r="K121" i="6"/>
  <c r="K15" i="6"/>
  <c r="K114" i="6"/>
  <c r="K118" i="6" s="1"/>
  <c r="K12" i="6"/>
  <c r="K5" i="6"/>
  <c r="K11" i="6"/>
  <c r="K19" i="6"/>
  <c r="K86" i="6"/>
  <c r="K85" i="6"/>
  <c r="K117" i="6"/>
  <c r="K119" i="6" s="1"/>
  <c r="K18" i="6"/>
  <c r="K14" i="6"/>
  <c r="K4" i="6"/>
  <c r="K13" i="6"/>
  <c r="K90" i="6"/>
  <c r="K83" i="6"/>
  <c r="K87" i="6" s="1"/>
  <c r="K115" i="6"/>
  <c r="K88" i="9" l="1"/>
  <c r="K89" i="9" s="1"/>
  <c r="K122" i="9"/>
  <c r="K123" i="9"/>
  <c r="K91" i="9"/>
  <c r="K92" i="9"/>
  <c r="K119" i="9"/>
  <c r="K120" i="9" s="1"/>
  <c r="K119" i="8"/>
  <c r="K120" i="8" s="1"/>
  <c r="K91" i="8"/>
  <c r="K92" i="8"/>
  <c r="K122" i="8"/>
  <c r="K123" i="8"/>
  <c r="K87" i="8"/>
  <c r="K88" i="8"/>
  <c r="K119" i="7"/>
  <c r="K87" i="7"/>
  <c r="K91" i="7"/>
  <c r="K92" i="7"/>
  <c r="K118" i="7"/>
  <c r="K120" i="7" s="1"/>
  <c r="K88" i="7"/>
  <c r="K89" i="7" s="1"/>
  <c r="K122" i="7"/>
  <c r="K123" i="7"/>
  <c r="K88" i="6"/>
  <c r="K91" i="6"/>
  <c r="K92" i="6"/>
  <c r="K89" i="6"/>
  <c r="K120" i="6"/>
  <c r="K122" i="6"/>
  <c r="K124" i="6" s="1"/>
  <c r="K125" i="6" s="1"/>
  <c r="K123" i="6"/>
  <c r="K89" i="8" l="1"/>
  <c r="K124" i="9"/>
  <c r="K125" i="9" s="1"/>
  <c r="K126" i="9" s="1"/>
  <c r="J43" i="9" s="1"/>
  <c r="K93" i="9"/>
  <c r="K94" i="9" s="1"/>
  <c r="K95" i="9" s="1"/>
  <c r="J42" i="9" s="1"/>
  <c r="K93" i="8"/>
  <c r="K94" i="8" s="1"/>
  <c r="K124" i="8"/>
  <c r="K125" i="8" s="1"/>
  <c r="K126" i="8" s="1"/>
  <c r="J43" i="8" s="1"/>
  <c r="K93" i="7"/>
  <c r="K94" i="7" s="1"/>
  <c r="K95" i="7" s="1"/>
  <c r="J42" i="7" s="1"/>
  <c r="K124" i="7"/>
  <c r="K125" i="7" s="1"/>
  <c r="K126" i="7" s="1"/>
  <c r="J43" i="7" s="1"/>
  <c r="K93" i="6"/>
  <c r="K94" i="6" s="1"/>
  <c r="K95" i="6" s="1"/>
  <c r="J42" i="6" s="1"/>
  <c r="K126" i="6"/>
  <c r="J43" i="6" s="1"/>
  <c r="K95" i="8" l="1"/>
  <c r="J42" i="8" s="1"/>
  <c r="N96" i="2"/>
  <c r="M96" i="2"/>
  <c r="J96" i="2"/>
  <c r="J2" i="2"/>
  <c r="J88" i="2"/>
  <c r="M88" i="2" s="1"/>
  <c r="K88" i="2"/>
  <c r="L88" i="2" s="1"/>
  <c r="J89" i="2"/>
  <c r="M89" i="2" s="1"/>
  <c r="K89" i="2"/>
  <c r="J90" i="2"/>
  <c r="N90" i="2" s="1"/>
  <c r="K90" i="2"/>
  <c r="L90" i="2" s="1"/>
  <c r="J36" i="2"/>
  <c r="N36" i="2" s="1"/>
  <c r="K36" i="2"/>
  <c r="L36" i="2" s="1"/>
  <c r="J37" i="2"/>
  <c r="M37" i="2" s="1"/>
  <c r="K37" i="2"/>
  <c r="J38" i="2"/>
  <c r="N38" i="2" s="1"/>
  <c r="K38" i="2"/>
  <c r="J39" i="2"/>
  <c r="N39" i="2" s="1"/>
  <c r="K39" i="2"/>
  <c r="J40" i="2"/>
  <c r="N40" i="2" s="1"/>
  <c r="K40" i="2"/>
  <c r="J41" i="2"/>
  <c r="M41" i="2" s="1"/>
  <c r="K41" i="2"/>
  <c r="L41" i="2" s="1"/>
  <c r="J42" i="2"/>
  <c r="N42" i="2" s="1"/>
  <c r="K42" i="2"/>
  <c r="J34" i="2"/>
  <c r="N34" i="2" s="1"/>
  <c r="K34" i="2"/>
  <c r="J35" i="2"/>
  <c r="M35" i="2" s="1"/>
  <c r="K35" i="2"/>
  <c r="J81" i="2"/>
  <c r="M81" i="2" s="1"/>
  <c r="K81" i="2"/>
  <c r="J82" i="2"/>
  <c r="M82" i="2" s="1"/>
  <c r="K82" i="2"/>
  <c r="J83" i="2"/>
  <c r="M83" i="2" s="1"/>
  <c r="K83" i="2"/>
  <c r="J84" i="2"/>
  <c r="M84" i="2" s="1"/>
  <c r="K84" i="2"/>
  <c r="J85" i="2"/>
  <c r="M85" i="2" s="1"/>
  <c r="K85" i="2"/>
  <c r="J86" i="2"/>
  <c r="N86" i="2" s="1"/>
  <c r="K86" i="2"/>
  <c r="J87" i="2"/>
  <c r="N87" i="2" s="1"/>
  <c r="K87" i="2"/>
  <c r="J33" i="2"/>
  <c r="M33" i="2" s="1"/>
  <c r="K33" i="2"/>
  <c r="J80" i="2"/>
  <c r="N80" i="2" s="1"/>
  <c r="K80" i="2"/>
  <c r="J79" i="2"/>
  <c r="M79" i="2" s="1"/>
  <c r="K79" i="2"/>
  <c r="J32" i="2"/>
  <c r="M32" i="2" s="1"/>
  <c r="K32" i="2"/>
  <c r="J31" i="2"/>
  <c r="M31" i="2" s="1"/>
  <c r="K31" i="2"/>
  <c r="J19" i="2"/>
  <c r="N19" i="2" s="1"/>
  <c r="K19" i="2"/>
  <c r="J66" i="2"/>
  <c r="N66" i="2" s="1"/>
  <c r="K66" i="2"/>
  <c r="J67" i="2"/>
  <c r="M67" i="2" s="1"/>
  <c r="K67" i="2"/>
  <c r="J68" i="2"/>
  <c r="M68" i="2" s="1"/>
  <c r="K68" i="2"/>
  <c r="J69" i="2"/>
  <c r="M69" i="2" s="1"/>
  <c r="K69" i="2"/>
  <c r="J70" i="2"/>
  <c r="M70" i="2" s="1"/>
  <c r="K70" i="2"/>
  <c r="J30" i="2"/>
  <c r="M30" i="2" s="1"/>
  <c r="K30" i="2"/>
  <c r="J71" i="2"/>
  <c r="M71" i="2" s="1"/>
  <c r="K71" i="2"/>
  <c r="J72" i="2"/>
  <c r="M72" i="2" s="1"/>
  <c r="K72" i="2"/>
  <c r="J73" i="2"/>
  <c r="M73" i="2" s="1"/>
  <c r="K73" i="2"/>
  <c r="J74" i="2"/>
  <c r="M74" i="2" s="1"/>
  <c r="K74" i="2"/>
  <c r="J75" i="2"/>
  <c r="M75" i="2" s="1"/>
  <c r="K75" i="2"/>
  <c r="J76" i="2"/>
  <c r="M76" i="2" s="1"/>
  <c r="K76" i="2"/>
  <c r="J77" i="2"/>
  <c r="M77" i="2" s="1"/>
  <c r="K77" i="2"/>
  <c r="J78" i="2"/>
  <c r="M78" i="2" s="1"/>
  <c r="K78" i="2"/>
  <c r="J23" i="2"/>
  <c r="N23" i="2" s="1"/>
  <c r="K23" i="2"/>
  <c r="J24" i="2"/>
  <c r="M24" i="2" s="1"/>
  <c r="K24" i="2"/>
  <c r="J25" i="2"/>
  <c r="M25" i="2" s="1"/>
  <c r="K25" i="2"/>
  <c r="J26" i="2"/>
  <c r="M26" i="2" s="1"/>
  <c r="K26" i="2"/>
  <c r="J27" i="2"/>
  <c r="K27" i="2"/>
  <c r="J28" i="2"/>
  <c r="M28" i="2" s="1"/>
  <c r="K28" i="2"/>
  <c r="J29" i="2"/>
  <c r="M29" i="2" s="1"/>
  <c r="K29" i="2"/>
  <c r="J22" i="2"/>
  <c r="M22" i="2" s="1"/>
  <c r="K22" i="2"/>
  <c r="J21" i="2"/>
  <c r="M21" i="2" s="1"/>
  <c r="K21" i="2"/>
  <c r="J65" i="2"/>
  <c r="N65" i="2" s="1"/>
  <c r="K65" i="2"/>
  <c r="J64" i="2"/>
  <c r="M64" i="2" s="1"/>
  <c r="K64" i="2"/>
  <c r="J63" i="2"/>
  <c r="M63" i="2" s="1"/>
  <c r="K63" i="2"/>
  <c r="J62" i="2"/>
  <c r="M62" i="2" s="1"/>
  <c r="K62" i="2"/>
  <c r="J20" i="2"/>
  <c r="M20" i="2" s="1"/>
  <c r="K20" i="2"/>
  <c r="J17" i="2"/>
  <c r="M17" i="2" s="1"/>
  <c r="K17" i="2"/>
  <c r="J13" i="2"/>
  <c r="N13" i="2" s="1"/>
  <c r="K13" i="2"/>
  <c r="J14" i="2"/>
  <c r="M14" i="2" s="1"/>
  <c r="K14" i="2"/>
  <c r="J15" i="2"/>
  <c r="M15" i="2" s="1"/>
  <c r="K15" i="2"/>
  <c r="J16" i="2"/>
  <c r="M16" i="2" s="1"/>
  <c r="K16" i="2"/>
  <c r="J18" i="2"/>
  <c r="M18" i="2" s="1"/>
  <c r="K18" i="2"/>
  <c r="J12" i="2"/>
  <c r="N12" i="2" s="1"/>
  <c r="K12" i="2"/>
  <c r="K59" i="2"/>
  <c r="K58" i="2"/>
  <c r="K57" i="2"/>
  <c r="K56" i="2"/>
  <c r="K55" i="2"/>
  <c r="K54" i="2"/>
  <c r="K53" i="2"/>
  <c r="K52" i="2"/>
  <c r="K51" i="2"/>
  <c r="K50" i="2"/>
  <c r="K61" i="2"/>
  <c r="K60" i="2"/>
  <c r="K9" i="2"/>
  <c r="K10" i="2"/>
  <c r="K11" i="2"/>
  <c r="K8" i="2"/>
  <c r="K6" i="2"/>
  <c r="K7" i="2"/>
  <c r="K5" i="2"/>
  <c r="K3" i="2"/>
  <c r="K4" i="2"/>
  <c r="K2" i="2"/>
  <c r="L89" i="2" l="1"/>
  <c r="L39" i="2"/>
  <c r="L38" i="2"/>
  <c r="M36" i="2"/>
  <c r="M34" i="2"/>
  <c r="M42" i="2"/>
  <c r="L37" i="2"/>
  <c r="L42" i="2"/>
  <c r="M38" i="2"/>
  <c r="M40" i="2"/>
  <c r="N89" i="2"/>
  <c r="N88" i="2"/>
  <c r="M90" i="2"/>
  <c r="N41" i="2"/>
  <c r="L40" i="2"/>
  <c r="N37" i="2"/>
  <c r="M39" i="2"/>
  <c r="N35" i="2"/>
  <c r="L35" i="2"/>
  <c r="L87" i="2"/>
  <c r="N83" i="2"/>
  <c r="L85" i="2"/>
  <c r="L34" i="2"/>
  <c r="M86" i="2"/>
  <c r="N81" i="2"/>
  <c r="M87" i="2"/>
  <c r="L84" i="2"/>
  <c r="L81" i="2"/>
  <c r="N82" i="2"/>
  <c r="L83" i="2"/>
  <c r="N85" i="2"/>
  <c r="L25" i="2"/>
  <c r="L73" i="2"/>
  <c r="L66" i="2"/>
  <c r="L86" i="2"/>
  <c r="N84" i="2"/>
  <c r="L33" i="2"/>
  <c r="L82" i="2"/>
  <c r="N33" i="2"/>
  <c r="L32" i="2"/>
  <c r="L80" i="2"/>
  <c r="M80" i="2"/>
  <c r="L31" i="2"/>
  <c r="L79" i="2"/>
  <c r="N79" i="2"/>
  <c r="N32" i="2"/>
  <c r="N31" i="2"/>
  <c r="N26" i="2"/>
  <c r="L28" i="2"/>
  <c r="L24" i="2"/>
  <c r="M19" i="2"/>
  <c r="L19" i="2"/>
  <c r="N24" i="2"/>
  <c r="N67" i="2"/>
  <c r="L64" i="2"/>
  <c r="N77" i="2"/>
  <c r="L67" i="2"/>
  <c r="L26" i="2"/>
  <c r="L77" i="2"/>
  <c r="N73" i="2"/>
  <c r="N70" i="2"/>
  <c r="L27" i="2"/>
  <c r="N25" i="2"/>
  <c r="L70" i="2"/>
  <c r="N28" i="2"/>
  <c r="L21" i="2"/>
  <c r="N29" i="2"/>
  <c r="N27" i="2"/>
  <c r="L23" i="2"/>
  <c r="L76" i="2"/>
  <c r="N74" i="2"/>
  <c r="L72" i="2"/>
  <c r="N30" i="2"/>
  <c r="L29" i="2"/>
  <c r="L78" i="2"/>
  <c r="L74" i="2"/>
  <c r="L30" i="2"/>
  <c r="N68" i="2"/>
  <c r="L68" i="2"/>
  <c r="N78" i="2"/>
  <c r="N75" i="2"/>
  <c r="N71" i="2"/>
  <c r="M66" i="2"/>
  <c r="N76" i="2"/>
  <c r="L75" i="2"/>
  <c r="N72" i="2"/>
  <c r="L71" i="2"/>
  <c r="L69" i="2"/>
  <c r="N69" i="2"/>
  <c r="M27" i="2"/>
  <c r="M23" i="2"/>
  <c r="L63" i="2"/>
  <c r="L65" i="2"/>
  <c r="L22" i="2"/>
  <c r="N22" i="2"/>
  <c r="N21" i="2"/>
  <c r="M65" i="2"/>
  <c r="N64" i="2"/>
  <c r="N63" i="2"/>
  <c r="L62" i="2"/>
  <c r="N62" i="2"/>
  <c r="N20" i="2"/>
  <c r="L16" i="2"/>
  <c r="L14" i="2"/>
  <c r="L17" i="2"/>
  <c r="L20" i="2"/>
  <c r="N18" i="2"/>
  <c r="M12" i="2"/>
  <c r="N16" i="2"/>
  <c r="L12" i="2"/>
  <c r="N17" i="2"/>
  <c r="L18" i="2"/>
  <c r="L13" i="2"/>
  <c r="N14" i="2"/>
  <c r="M13" i="2"/>
  <c r="N15" i="2"/>
  <c r="L15" i="2"/>
  <c r="J11" i="2" l="1"/>
  <c r="L11" i="2" s="1"/>
  <c r="J61" i="2"/>
  <c r="L61" i="2" s="1"/>
  <c r="J60" i="2"/>
  <c r="M60" i="2" s="1"/>
  <c r="J59" i="2"/>
  <c r="M59" i="2" s="1"/>
  <c r="J10" i="2"/>
  <c r="N10" i="2" s="1"/>
  <c r="J58" i="2"/>
  <c r="L58" i="2" s="1"/>
  <c r="J55" i="2"/>
  <c r="L55" i="2" s="1"/>
  <c r="J56" i="2"/>
  <c r="M56" i="2" s="1"/>
  <c r="J57" i="2"/>
  <c r="M57" i="2" s="1"/>
  <c r="J4" i="2"/>
  <c r="L4" i="2" s="1"/>
  <c r="J5" i="2"/>
  <c r="L5" i="2" s="1"/>
  <c r="J6" i="2"/>
  <c r="L6" i="2" s="1"/>
  <c r="J7" i="2"/>
  <c r="L7" i="2" s="1"/>
  <c r="J8" i="2"/>
  <c r="L8" i="2" s="1"/>
  <c r="J9" i="2"/>
  <c r="L9" i="2" s="1"/>
  <c r="J50" i="2"/>
  <c r="J51" i="2"/>
  <c r="L51" i="2" s="1"/>
  <c r="J52" i="2"/>
  <c r="L52" i="2" s="1"/>
  <c r="J53" i="2"/>
  <c r="L53" i="2" s="1"/>
  <c r="J54" i="2"/>
  <c r="L54" i="2" s="1"/>
  <c r="J3" i="2"/>
  <c r="L3" i="2" s="1"/>
  <c r="J92" i="2" l="1"/>
  <c r="N2" i="2"/>
  <c r="J44" i="2"/>
  <c r="L2" i="2"/>
  <c r="L60" i="2"/>
  <c r="L50" i="2"/>
  <c r="M50" i="2"/>
  <c r="N11" i="2"/>
  <c r="N60" i="2"/>
  <c r="N61" i="2"/>
  <c r="M11" i="2"/>
  <c r="M61" i="2"/>
  <c r="N59" i="2"/>
  <c r="N58" i="2"/>
  <c r="L59" i="2"/>
  <c r="M10" i="2"/>
  <c r="L10" i="2"/>
  <c r="N56" i="2"/>
  <c r="M58" i="2"/>
  <c r="L57" i="2"/>
  <c r="M6" i="2"/>
  <c r="M55" i="2"/>
  <c r="N57" i="2"/>
  <c r="L56" i="2"/>
  <c r="M2" i="2"/>
  <c r="M51" i="2"/>
  <c r="M5" i="2"/>
  <c r="M4" i="2"/>
  <c r="N55" i="2"/>
  <c r="M3" i="2"/>
  <c r="M9" i="2"/>
  <c r="M8" i="2"/>
  <c r="M7" i="2"/>
  <c r="M54" i="2"/>
  <c r="M53" i="2"/>
  <c r="M52" i="2"/>
  <c r="N54" i="2"/>
  <c r="N53" i="2"/>
  <c r="N52" i="2"/>
  <c r="N51" i="2"/>
  <c r="N50" i="2"/>
  <c r="N9" i="2"/>
  <c r="N8" i="2"/>
  <c r="N7" i="2"/>
  <c r="N6" i="2"/>
  <c r="N5" i="2"/>
  <c r="N4" i="2"/>
  <c r="N3" i="2"/>
  <c r="N92" i="2" l="1"/>
  <c r="M44" i="2"/>
  <c r="P44" i="2" s="1"/>
  <c r="N44" i="2"/>
  <c r="M92" i="2"/>
  <c r="P92" i="2" s="1"/>
</calcChain>
</file>

<file path=xl/sharedStrings.xml><?xml version="1.0" encoding="utf-8"?>
<sst xmlns="http://schemas.openxmlformats.org/spreadsheetml/2006/main" count="1085" uniqueCount="218">
  <si>
    <t>Sorghum, grain or forage</t>
  </si>
  <si>
    <t>Sorghum-sudangrass</t>
  </si>
  <si>
    <t>Sorghum bicolor subsp. bicolor</t>
  </si>
  <si>
    <t>Sorghum bicolor nothsubsp drummondii</t>
  </si>
  <si>
    <t>Type</t>
  </si>
  <si>
    <t>Source State</t>
  </si>
  <si>
    <t>Treated</t>
  </si>
  <si>
    <t>Lab</t>
  </si>
  <si>
    <t>A1</t>
  </si>
  <si>
    <t>BMR Forage</t>
  </si>
  <si>
    <t>MN</t>
  </si>
  <si>
    <t>B1</t>
  </si>
  <si>
    <t>Forage</t>
  </si>
  <si>
    <t>A2</t>
  </si>
  <si>
    <t>B2</t>
  </si>
  <si>
    <t>A3</t>
  </si>
  <si>
    <t>Grain</t>
  </si>
  <si>
    <t>NE</t>
  </si>
  <si>
    <t>x</t>
  </si>
  <si>
    <t>B3</t>
  </si>
  <si>
    <t>A4</t>
  </si>
  <si>
    <t>B4</t>
  </si>
  <si>
    <t>A5</t>
  </si>
  <si>
    <t>B5</t>
  </si>
  <si>
    <t>A6</t>
  </si>
  <si>
    <t>SD</t>
  </si>
  <si>
    <t>B6</t>
  </si>
  <si>
    <t>A7</t>
  </si>
  <si>
    <t>B7</t>
  </si>
  <si>
    <t>A8</t>
  </si>
  <si>
    <t>B8</t>
  </si>
  <si>
    <t>A9</t>
  </si>
  <si>
    <t>B9</t>
  </si>
  <si>
    <t>A10</t>
  </si>
  <si>
    <t>TX</t>
  </si>
  <si>
    <t>B10</t>
  </si>
  <si>
    <t>A11</t>
  </si>
  <si>
    <t>B11</t>
  </si>
  <si>
    <t>A12</t>
  </si>
  <si>
    <t>B12</t>
  </si>
  <si>
    <t>A13</t>
  </si>
  <si>
    <t>B13</t>
  </si>
  <si>
    <t>A14</t>
  </si>
  <si>
    <t>B14</t>
  </si>
  <si>
    <t>IN</t>
  </si>
  <si>
    <t>A15</t>
  </si>
  <si>
    <t>B15</t>
  </si>
  <si>
    <t>A16</t>
  </si>
  <si>
    <t>B16</t>
  </si>
  <si>
    <t>A17</t>
  </si>
  <si>
    <t>B17</t>
  </si>
  <si>
    <t>A19</t>
  </si>
  <si>
    <t>B18</t>
  </si>
  <si>
    <t>ID</t>
  </si>
  <si>
    <t>A20</t>
  </si>
  <si>
    <t>B19</t>
  </si>
  <si>
    <t>A21</t>
  </si>
  <si>
    <t>B20</t>
  </si>
  <si>
    <t>WI</t>
  </si>
  <si>
    <t>A22</t>
  </si>
  <si>
    <t>forage, open pollinated</t>
  </si>
  <si>
    <t>B21</t>
  </si>
  <si>
    <t>A23</t>
  </si>
  <si>
    <t>grain</t>
  </si>
  <si>
    <t>A24</t>
  </si>
  <si>
    <t>B23</t>
  </si>
  <si>
    <t>A25</t>
  </si>
  <si>
    <t>B24</t>
  </si>
  <si>
    <t>A26</t>
  </si>
  <si>
    <t>forage</t>
  </si>
  <si>
    <t>B25</t>
  </si>
  <si>
    <t>A27</t>
  </si>
  <si>
    <t>B26</t>
  </si>
  <si>
    <t>ME</t>
  </si>
  <si>
    <t>A28</t>
  </si>
  <si>
    <t>B27</t>
  </si>
  <si>
    <t>A29</t>
  </si>
  <si>
    <t>B28</t>
  </si>
  <si>
    <t>B29</t>
  </si>
  <si>
    <t>B30</t>
  </si>
  <si>
    <t>mean</t>
  </si>
  <si>
    <t>stdev</t>
  </si>
  <si>
    <t>c.o.v.</t>
  </si>
  <si>
    <t>seeds/g</t>
  </si>
  <si>
    <t>meanx25</t>
  </si>
  <si>
    <t>Lab #</t>
  </si>
  <si>
    <t>A18</t>
  </si>
  <si>
    <t>was B22</t>
  </si>
  <si>
    <t>25-82</t>
  </si>
  <si>
    <t>range</t>
  </si>
  <si>
    <t>A30</t>
  </si>
  <si>
    <t>A31</t>
  </si>
  <si>
    <t>B31</t>
  </si>
  <si>
    <t>B32</t>
  </si>
  <si>
    <t>B33</t>
  </si>
  <si>
    <t>B34</t>
  </si>
  <si>
    <t>B35</t>
  </si>
  <si>
    <t>B36</t>
  </si>
  <si>
    <t>B37</t>
  </si>
  <si>
    <t>B38</t>
  </si>
  <si>
    <t>B39</t>
  </si>
  <si>
    <t>A32</t>
  </si>
  <si>
    <t>A33</t>
  </si>
  <si>
    <t>A34</t>
  </si>
  <si>
    <t>A35</t>
  </si>
  <si>
    <t>B40</t>
  </si>
  <si>
    <t>B41</t>
  </si>
  <si>
    <t>B42</t>
  </si>
  <si>
    <t>A36</t>
  </si>
  <si>
    <t>A37</t>
  </si>
  <si>
    <t>A38</t>
  </si>
  <si>
    <t>A39</t>
  </si>
  <si>
    <t>A40</t>
  </si>
  <si>
    <t>A41</t>
  </si>
  <si>
    <t>seeds/oz</t>
  </si>
  <si>
    <t>709-2324</t>
  </si>
  <si>
    <t>29-59</t>
  </si>
  <si>
    <t>822-1673</t>
  </si>
  <si>
    <t>Sample #</t>
  </si>
  <si>
    <t>Average</t>
  </si>
  <si>
    <t>unknown</t>
  </si>
  <si>
    <t>NS</t>
  </si>
  <si>
    <t>Food grade</t>
  </si>
  <si>
    <t>Average of 82 samples</t>
  </si>
  <si>
    <t xml:space="preserve">Sig </t>
  </si>
  <si>
    <t>G crit</t>
  </si>
  <si>
    <t>t.crit</t>
  </si>
  <si>
    <t>df</t>
  </si>
  <si>
    <t>N</t>
  </si>
  <si>
    <t>G</t>
  </si>
  <si>
    <t>max-mean</t>
  </si>
  <si>
    <t>mean-min</t>
  </si>
  <si>
    <t>Max</t>
  </si>
  <si>
    <t>Min</t>
  </si>
  <si>
    <t>Mean</t>
  </si>
  <si>
    <t>alpha</t>
  </si>
  <si>
    <t>14 reps</t>
  </si>
  <si>
    <t>Not used in calculator</t>
  </si>
  <si>
    <t>15 reps</t>
  </si>
  <si>
    <t>g crit</t>
  </si>
  <si>
    <t>sig</t>
  </si>
  <si>
    <t>n</t>
  </si>
  <si>
    <t>max</t>
  </si>
  <si>
    <t>Alpha</t>
  </si>
  <si>
    <t>CI lower limit</t>
  </si>
  <si>
    <t>CI upper limit</t>
  </si>
  <si>
    <t>t</t>
  </si>
  <si>
    <t>SEM</t>
  </si>
  <si>
    <t>90% equal to 95% one sided</t>
  </si>
  <si>
    <t>CI</t>
  </si>
  <si>
    <t>95% one sided</t>
  </si>
  <si>
    <t>Confidence level</t>
  </si>
  <si>
    <t>16 reps</t>
  </si>
  <si>
    <t>Standard deviation of seed lots</t>
  </si>
  <si>
    <t>Mean of seed lots</t>
  </si>
  <si>
    <t>Number of seed lots</t>
  </si>
  <si>
    <t>Data</t>
  </si>
  <si>
    <t>Average:</t>
  </si>
  <si>
    <t>ex1</t>
  </si>
  <si>
    <t>N=</t>
  </si>
  <si>
    <t>SD 16 reps</t>
  </si>
  <si>
    <t>SD 8 reps</t>
  </si>
  <si>
    <t>Bulk/noxious weed wt. (25,000 seeds):</t>
  </si>
  <si>
    <t>Purity wt. (2500 seeds):</t>
  </si>
  <si>
    <r>
      <rPr>
        <b/>
        <sz val="12"/>
        <color theme="1"/>
        <rFont val="Calibri (Body)"/>
      </rPr>
      <t xml:space="preserve">C5. </t>
    </r>
    <r>
      <rPr>
        <b/>
        <sz val="12"/>
        <color theme="1"/>
        <rFont val="Calibri"/>
        <family val="2"/>
        <scheme val="minor"/>
      </rPr>
      <t>Purity and bulk/noxious exam weights</t>
    </r>
  </si>
  <si>
    <r>
      <rPr>
        <b/>
        <sz val="12"/>
        <color theme="1"/>
        <rFont val="Calibri (Body)"/>
      </rPr>
      <t>C4</t>
    </r>
    <r>
      <rPr>
        <sz val="11"/>
        <color theme="1"/>
        <rFont val="Calibri"/>
        <family val="2"/>
        <scheme val="minor"/>
      </rPr>
      <t xml:space="preserve">. </t>
    </r>
    <r>
      <rPr>
        <b/>
        <sz val="12"/>
        <color theme="1"/>
        <rFont val="Calibri"/>
        <family val="2"/>
        <scheme val="minor"/>
      </rPr>
      <t>Enter rounded mean value here:</t>
    </r>
  </si>
  <si>
    <t>Mean after rounding to whole number:</t>
  </si>
  <si>
    <t>Mean after rounding to 1 decimal:</t>
  </si>
  <si>
    <t>Mean after rounding to 2 decimals:</t>
  </si>
  <si>
    <t>Mean after rounding to 3 decimals:</t>
  </si>
  <si>
    <t>Mean after rounding to 4 decimals:</t>
  </si>
  <si>
    <r>
      <rPr>
        <b/>
        <sz val="12"/>
        <color theme="1"/>
        <rFont val="Calibri (Body)"/>
      </rPr>
      <t>C3</t>
    </r>
    <r>
      <rPr>
        <sz val="12"/>
        <color theme="1"/>
        <rFont val="Calibri (Body)"/>
      </rPr>
      <t xml:space="preserve">. </t>
    </r>
    <r>
      <rPr>
        <b/>
        <sz val="12"/>
        <color theme="1"/>
        <rFont val="Calibri (Body)"/>
      </rPr>
      <t>Revised m</t>
    </r>
    <r>
      <rPr>
        <b/>
        <sz val="12"/>
        <color theme="1"/>
        <rFont val="Calibri"/>
        <family val="2"/>
        <scheme val="minor"/>
      </rPr>
      <t>ean before rounding:</t>
    </r>
  </si>
  <si>
    <t>Rank 2</t>
  </si>
  <si>
    <t xml:space="preserve">Rank 1 </t>
  </si>
  <si>
    <t>Outlier</t>
  </si>
  <si>
    <t>100-seed weight rank</t>
  </si>
  <si>
    <t>This test is designed to check for outliers using the full data set. Do not use after a replicate weight is discarded.</t>
  </si>
  <si>
    <r>
      <t xml:space="preserve">C2. </t>
    </r>
    <r>
      <rPr>
        <b/>
        <sz val="12"/>
        <color theme="1"/>
        <rFont val="Calibri (Body)"/>
      </rPr>
      <t>Outlier check</t>
    </r>
  </si>
  <si>
    <r>
      <rPr>
        <b/>
        <sz val="12"/>
        <color theme="1"/>
        <rFont val="Calibri (Body)"/>
      </rPr>
      <t>D6</t>
    </r>
    <r>
      <rPr>
        <b/>
        <sz val="12"/>
        <color theme="1"/>
        <rFont val="Calibri"/>
        <family val="2"/>
        <scheme val="minor"/>
      </rPr>
      <t xml:space="preserve">. Minimum bulk/noxious weed weight (g): </t>
    </r>
  </si>
  <si>
    <r>
      <rPr>
        <b/>
        <sz val="12"/>
        <color theme="1"/>
        <rFont val="Calibri (Body)"/>
      </rPr>
      <t>C1.</t>
    </r>
    <r>
      <rPr>
        <b/>
        <sz val="12"/>
        <color theme="1"/>
        <rFont val="Calibri"/>
        <family val="2"/>
        <scheme val="minor"/>
      </rPr>
      <t xml:space="preserve"> Revised CV (%); all replicates:</t>
    </r>
  </si>
  <si>
    <r>
      <rPr>
        <b/>
        <sz val="12"/>
        <color theme="1"/>
        <rFont val="Calibri (Body)"/>
      </rPr>
      <t>D5</t>
    </r>
    <r>
      <rPr>
        <b/>
        <sz val="12"/>
        <color theme="1"/>
        <rFont val="Calibri"/>
        <family val="2"/>
        <scheme val="minor"/>
      </rPr>
      <t xml:space="preserve">. Minimum Purity Working Weight (g): </t>
    </r>
  </si>
  <si>
    <t>Minimum purity weight rounded to whole number:</t>
  </si>
  <si>
    <r>
      <rPr>
        <b/>
        <sz val="12"/>
        <color theme="1"/>
        <rFont val="Calibri (Body)"/>
      </rPr>
      <t xml:space="preserve">B5. </t>
    </r>
    <r>
      <rPr>
        <b/>
        <sz val="12"/>
        <color theme="1"/>
        <rFont val="Calibri"/>
        <family val="2"/>
        <scheme val="minor"/>
      </rPr>
      <t>Purity and bulk/noxious exam weights</t>
    </r>
  </si>
  <si>
    <t>Minimum purity weight rounded to 1 decimal:</t>
  </si>
  <si>
    <t>Minimum purity weight rounded to 2 decimals:</t>
  </si>
  <si>
    <r>
      <rPr>
        <b/>
        <sz val="12"/>
        <color theme="1"/>
        <rFont val="Calibri (Body)"/>
      </rPr>
      <t>B4</t>
    </r>
    <r>
      <rPr>
        <sz val="11"/>
        <color theme="1"/>
        <rFont val="Calibri"/>
        <family val="2"/>
        <scheme val="minor"/>
      </rPr>
      <t xml:space="preserve">. </t>
    </r>
    <r>
      <rPr>
        <b/>
        <sz val="12"/>
        <color theme="1"/>
        <rFont val="Calibri"/>
        <family val="2"/>
        <scheme val="minor"/>
      </rPr>
      <t>Enter rounded mean value here:</t>
    </r>
  </si>
  <si>
    <t xml:space="preserve">D4. Unrounded Minimum Purity Working Weight (g): </t>
  </si>
  <si>
    <r>
      <rPr>
        <b/>
        <sz val="12"/>
        <color theme="1"/>
        <rFont val="Calibri (Body)"/>
      </rPr>
      <t>D3</t>
    </r>
    <r>
      <rPr>
        <b/>
        <sz val="12"/>
        <color theme="1"/>
        <rFont val="Calibri"/>
        <family val="2"/>
        <scheme val="minor"/>
      </rPr>
      <t>. Mean purity weight</t>
    </r>
  </si>
  <si>
    <t xml:space="preserve">Mean after rounding to 2 decimals: </t>
  </si>
  <si>
    <r>
      <rPr>
        <b/>
        <sz val="12"/>
        <color theme="1"/>
        <rFont val="Calibri (Body)"/>
      </rPr>
      <t>D2</t>
    </r>
    <r>
      <rPr>
        <sz val="11"/>
        <color theme="1"/>
        <rFont val="Calibri"/>
        <family val="2"/>
        <scheme val="minor"/>
      </rPr>
      <t xml:space="preserve">. </t>
    </r>
    <r>
      <rPr>
        <b/>
        <sz val="12"/>
        <color theme="1"/>
        <rFont val="Calibri"/>
        <family val="2"/>
        <scheme val="minor"/>
      </rPr>
      <t>CV (%):</t>
    </r>
  </si>
  <si>
    <t xml:space="preserve">Mean after rounding to 3 decimals: </t>
  </si>
  <si>
    <r>
      <rPr>
        <b/>
        <i/>
        <sz val="12"/>
        <color theme="1"/>
        <rFont val="Calibri"/>
        <family val="2"/>
        <scheme val="minor"/>
      </rPr>
      <t xml:space="preserve">This part is only needed if the CV(%) calculated in part B is above the maximum acceptable limit for either chaffy or non-chaffy seeds.
</t>
    </r>
    <r>
      <rPr>
        <sz val="11"/>
        <color theme="1"/>
        <rFont val="Calibri"/>
        <family val="2"/>
        <scheme val="minor"/>
      </rPr>
      <t xml:space="preserve">
Enter the additional replicate weights (9-16) from the same sample in B1.  The rank of each replicate weight, based on its absolute difference from the mean, is displayed to the right of the data. Among the 16 replicates, the two replicate weights with the largest absolute difference from the mean, ranked 1 and 2 from higher to lower, are marked by corresponding red dots.
</t>
    </r>
    <r>
      <rPr>
        <b/>
        <sz val="12"/>
        <color theme="1"/>
        <rFont val="Calibri"/>
        <family val="2"/>
        <scheme val="minor"/>
      </rPr>
      <t>C1.</t>
    </r>
    <r>
      <rPr>
        <sz val="11"/>
        <color theme="1"/>
        <rFont val="Calibri"/>
        <family val="2"/>
        <scheme val="minor"/>
      </rPr>
      <t xml:space="preserve"> A revised CV is calculated based on all 16 replicates. If the CV is within acceptable limits (equal to or less than 4% or 6%) skip C2 and proceed to C3 without checking for outliers. If the CV is greater than the acceptable limit, go to C2.
</t>
    </r>
    <r>
      <rPr>
        <b/>
        <sz val="12"/>
        <color theme="1"/>
        <rFont val="Calibri"/>
        <family val="2"/>
        <scheme val="minor"/>
      </rPr>
      <t>C2.</t>
    </r>
    <r>
      <rPr>
        <sz val="11"/>
        <color theme="1"/>
        <rFont val="Calibri"/>
        <family val="2"/>
        <scheme val="minor"/>
      </rPr>
      <t xml:space="preserve"> Outlier checks for the two replicate weights with the largest absolute difference from the mean are displayed. Note that outlier checks are only valid when performed on the complete data set (16 replicates), and should not be used after a replicate weight has been deleted from the data. If the replicate with the largest difference from the mean (Rank 1) is identified as an outlier ('YES' result), while Rank 2 replicate is not an outlier ('NO'), delete the replicate weight corresponding to Rank 1 and proceed to C3 after confirming that the revised CV (C1) is now within acceptable limits. However, if the second ranked replicate weight (Rank 2) is also identified as an outlier ('YES') before any replicate weight is deleted, this seedlot's replicate results cannot be used for determining purity/bulk/noxious working weights. </t>
    </r>
    <r>
      <rPr>
        <i/>
        <sz val="12"/>
        <color theme="1"/>
        <rFont val="Calibri"/>
        <family val="2"/>
        <scheme val="minor"/>
      </rPr>
      <t>Presence of more than one outlier indicates possible methodological errors. Check your data for possible errors and refer to the accompanying instructions for possible remedies..</t>
    </r>
    <r>
      <rPr>
        <sz val="11"/>
        <color theme="1"/>
        <rFont val="Calibri"/>
        <family val="2"/>
        <scheme val="minor"/>
      </rPr>
      <t xml:space="preserve">
</t>
    </r>
    <r>
      <rPr>
        <b/>
        <sz val="12"/>
        <color theme="1"/>
        <rFont val="Calibri"/>
        <family val="2"/>
        <scheme val="minor"/>
      </rPr>
      <t>C3.</t>
    </r>
    <r>
      <rPr>
        <sz val="11"/>
        <color theme="1"/>
        <rFont val="Calibri"/>
        <family val="2"/>
        <scheme val="minor"/>
      </rPr>
      <t xml:space="preserve"> The unrounded revised mean of all remaining replicates is calculated. Use section 2.3a of AOSA Rules, vol. 1 (2022), or refer to section II.5 of the accompanying instructions to determine the correct number of decimals for your final answer. </t>
    </r>
    <r>
      <rPr>
        <b/>
        <sz val="12"/>
        <color theme="1"/>
        <rFont val="Calibri"/>
        <family val="2"/>
        <scheme val="minor"/>
      </rPr>
      <t xml:space="preserve">
C4. </t>
    </r>
    <r>
      <rPr>
        <sz val="11"/>
        <color theme="1"/>
        <rFont val="Calibri"/>
        <family val="2"/>
        <scheme val="minor"/>
      </rPr>
      <t xml:space="preserve">Manually enter the correctly rounded mean from C3.
</t>
    </r>
    <r>
      <rPr>
        <b/>
        <sz val="12"/>
        <color theme="1"/>
        <rFont val="Calibri"/>
        <family val="2"/>
        <scheme val="minor"/>
      </rPr>
      <t>C5.</t>
    </r>
    <r>
      <rPr>
        <sz val="11"/>
        <color theme="1"/>
        <rFont val="Calibri"/>
        <family val="2"/>
        <scheme val="minor"/>
      </rPr>
      <t xml:space="preserve"> The purity and bulk/noxious weed exam weights are calculated for this seedlot. Enter the purity weight without further rounding in D1 for that seedlot. </t>
    </r>
    <r>
      <rPr>
        <i/>
        <sz val="12"/>
        <color theme="1"/>
        <rFont val="Calibri"/>
        <family val="2"/>
        <scheme val="minor"/>
      </rPr>
      <t xml:space="preserve">If you copy and paste the purity weight, make sure you use the 'Paste as value' function in Excel. Otherwise, Excel will paste the equation rather than the actual value. </t>
    </r>
    <r>
      <rPr>
        <i/>
        <u/>
        <sz val="12"/>
        <color theme="1"/>
        <rFont val="Calibri"/>
        <family val="2"/>
        <scheme val="minor"/>
      </rPr>
      <t>Double clicking on the destination cell before pasting is another way of just adding cell value</t>
    </r>
    <r>
      <rPr>
        <i/>
        <sz val="12"/>
        <color theme="1"/>
        <rFont val="Calibri"/>
        <family val="2"/>
        <scheme val="minor"/>
      </rPr>
      <t xml:space="preserve"> (double clicking only works for single cells, not when multiple cells are selected).</t>
    </r>
    <r>
      <rPr>
        <sz val="11"/>
        <color theme="1"/>
        <rFont val="Calibri"/>
        <family val="2"/>
        <scheme val="minor"/>
      </rPr>
      <t xml:space="preserve">
</t>
    </r>
    <r>
      <rPr>
        <b/>
        <i/>
        <sz val="12"/>
        <color theme="1"/>
        <rFont val="Calibri"/>
        <family val="2"/>
        <scheme val="minor"/>
      </rPr>
      <t xml:space="preserve">Repeat for samples from each seed lot when the CV is above acceptable limits. Before each new seedlot analysis, make sure you clear the data you entered in B1, B4, and C4.    </t>
    </r>
    <r>
      <rPr>
        <sz val="11"/>
        <color theme="1"/>
        <rFont val="Calibri"/>
        <family val="2"/>
        <scheme val="minor"/>
      </rPr>
      <t xml:space="preserve">
</t>
    </r>
  </si>
  <si>
    <r>
      <rPr>
        <b/>
        <sz val="12"/>
        <color theme="1"/>
        <rFont val="Calibri (Body)"/>
      </rPr>
      <t>B3.</t>
    </r>
    <r>
      <rPr>
        <sz val="11"/>
        <color theme="1"/>
        <rFont val="Calibri"/>
        <family val="2"/>
        <scheme val="minor"/>
      </rPr>
      <t xml:space="preserve"> </t>
    </r>
    <r>
      <rPr>
        <b/>
        <sz val="12"/>
        <color theme="1"/>
        <rFont val="Calibri"/>
        <family val="2"/>
        <scheme val="minor"/>
      </rPr>
      <t>Mean before rounding</t>
    </r>
    <r>
      <rPr>
        <sz val="11"/>
        <color theme="1"/>
        <rFont val="Calibri"/>
        <family val="2"/>
        <scheme val="minor"/>
      </rPr>
      <t>:</t>
    </r>
  </si>
  <si>
    <t>C
A1. Enter the weights of the 8 replications from a single sample (seed lot). 
A2. Check the CV. If the CV is 6% or less for chaffy kinds, or 4% or less for non-chaffy kinds, proceed to A3. If the CV is greater than 6% or 4% for chaffy and non-chaffy k</t>
  </si>
  <si>
    <r>
      <rPr>
        <b/>
        <sz val="12"/>
        <color theme="1"/>
        <rFont val="Calibri (Body)"/>
      </rPr>
      <t>B2</t>
    </r>
    <r>
      <rPr>
        <sz val="11"/>
        <color theme="1"/>
        <rFont val="Calibri"/>
        <family val="2"/>
        <scheme val="minor"/>
      </rPr>
      <t xml:space="preserve">. </t>
    </r>
    <r>
      <rPr>
        <b/>
        <sz val="12"/>
        <color theme="1"/>
        <rFont val="Calibri"/>
        <family val="2"/>
        <scheme val="minor"/>
      </rPr>
      <t>CV (%); first 8 replicates:</t>
    </r>
  </si>
  <si>
    <t>This calculator is password protected to prevent accidental changes. To preserve your data and output, please save this file under another name.</t>
  </si>
  <si>
    <t>Seed number per lot</t>
  </si>
  <si>
    <t>Purity weight</t>
  </si>
  <si>
    <t>Lot ID</t>
  </si>
  <si>
    <t>E2. Estimated seed number</t>
  </si>
  <si>
    <t>Lot</t>
  </si>
  <si>
    <r>
      <rPr>
        <b/>
        <sz val="12"/>
        <color theme="1"/>
        <rFont val="Calibri (Body)"/>
      </rPr>
      <t xml:space="preserve">E1. </t>
    </r>
    <r>
      <rPr>
        <sz val="12"/>
        <color theme="1"/>
        <rFont val="Calibri (Body)"/>
      </rPr>
      <t xml:space="preserve">The minimum purity working weight entered in D5 is automatically imported.
</t>
    </r>
    <r>
      <rPr>
        <b/>
        <sz val="12"/>
        <color theme="1"/>
        <rFont val="Calibri (Body)"/>
      </rPr>
      <t>E2.</t>
    </r>
    <r>
      <rPr>
        <sz val="12"/>
        <color theme="1"/>
        <rFont val="Calibri (Body)"/>
      </rPr>
      <t xml:space="preserve"> </t>
    </r>
    <r>
      <rPr>
        <sz val="11"/>
        <color theme="1"/>
        <rFont val="Calibri"/>
        <family val="2"/>
        <scheme val="minor"/>
      </rPr>
      <t xml:space="preserve"> The purity weights for each lot are imported from D1. The estimated number of seeds for each lot is automatically calculated.
</t>
    </r>
    <r>
      <rPr>
        <b/>
        <i/>
        <sz val="12"/>
        <color theme="1"/>
        <rFont val="Calibri"/>
        <family val="2"/>
        <scheme val="minor"/>
      </rPr>
      <t>Before a new analysis for a different species, make sure to clear the data entered under A1, B1, B4, C4, D1 and D5.</t>
    </r>
    <r>
      <rPr>
        <sz val="11"/>
        <color theme="1"/>
        <rFont val="Calibri"/>
        <family val="2"/>
        <scheme val="minor"/>
      </rPr>
      <t xml:space="preserve">
</t>
    </r>
  </si>
  <si>
    <t>Calculated purity weight (g)</t>
  </si>
  <si>
    <t>Lot No.</t>
  </si>
  <si>
    <r>
      <rPr>
        <b/>
        <sz val="12"/>
        <color theme="1"/>
        <rFont val="Calibri (Body)"/>
      </rPr>
      <t xml:space="preserve">D1. </t>
    </r>
    <r>
      <rPr>
        <sz val="12"/>
        <color theme="1"/>
        <rFont val="Calibri (Body)"/>
      </rPr>
      <t xml:space="preserve">For each seed lot, enter the average purity weight calculated in either B5 or C5 without further rounding.  
</t>
    </r>
    <r>
      <rPr>
        <b/>
        <sz val="12"/>
        <color theme="1"/>
        <rFont val="Calibri (Body)"/>
      </rPr>
      <t>D2.</t>
    </r>
    <r>
      <rPr>
        <sz val="12"/>
        <color theme="1"/>
        <rFont val="Calibri (Body)"/>
      </rPr>
      <t xml:space="preserve"> Check the CV. The CV should not exceed 10% for either chaffy or non-chaffy kinds. If the CV is greater than 10%, single reliable estimates of minimum purity and bulk/noxious weed weights cannot be calculated based on the sampled seed lots.
</t>
    </r>
    <r>
      <rPr>
        <b/>
        <sz val="12"/>
        <color theme="1"/>
        <rFont val="Calibri (Body)"/>
      </rPr>
      <t xml:space="preserve">D3. </t>
    </r>
    <r>
      <rPr>
        <sz val="12"/>
        <color theme="1"/>
        <rFont val="Calibri (Body)"/>
      </rPr>
      <t>The average purity weight from all lots is calculated.</t>
    </r>
    <r>
      <rPr>
        <i/>
        <sz val="12"/>
        <color theme="1"/>
        <rFont val="Calibri (Body)"/>
      </rPr>
      <t xml:space="preserve"> Do not use this value when proposing an addition/change to Table 2A of the Rules, vol. 1 (2022).</t>
    </r>
    <r>
      <rPr>
        <sz val="12"/>
        <color theme="1"/>
        <rFont val="Calibri (Body)"/>
      </rPr>
      <t xml:space="preserve"> 
</t>
    </r>
    <r>
      <rPr>
        <b/>
        <sz val="12"/>
        <color theme="1"/>
        <rFont val="Calibri (Body)"/>
      </rPr>
      <t>D4.</t>
    </r>
    <r>
      <rPr>
        <sz val="12"/>
        <color theme="1"/>
        <rFont val="Calibri (Body)"/>
      </rPr>
      <t xml:space="preserve"> The </t>
    </r>
    <r>
      <rPr>
        <b/>
        <sz val="12"/>
        <color theme="1"/>
        <rFont val="Calibri (Body)"/>
      </rPr>
      <t>Minimum Purity Working Weight (g)</t>
    </r>
    <r>
      <rPr>
        <sz val="12"/>
        <color theme="1"/>
        <rFont val="Calibri (Body)"/>
      </rPr>
      <t xml:space="preserve">, derived from the value in D3, is calculated without rounding. This value is the upper limit 95% confidence interval for the mean calculated in D3. Results must be rounded to the correct number of decimal places, as described in sec. 13.4b.1 of the rules, vol. 1 (2022) and section IV.4 of the instructions, before inclusion in Table 2A of the rules. 
</t>
    </r>
    <r>
      <rPr>
        <b/>
        <sz val="12"/>
        <color theme="1"/>
        <rFont val="Calibri (Body)"/>
      </rPr>
      <t>D5</t>
    </r>
    <r>
      <rPr>
        <sz val="12"/>
        <color theme="1"/>
        <rFont val="Calibri (Body)"/>
      </rPr>
      <t xml:space="preserve">. Manually enter the correctly rounded mean from D4 in the provided field. </t>
    </r>
    <r>
      <rPr>
        <i/>
        <sz val="12"/>
        <color theme="1"/>
        <rFont val="Calibri (Body)"/>
      </rPr>
      <t>This is the value to be proposed for addition to Table 2A of the rules</t>
    </r>
    <r>
      <rPr>
        <sz val="12"/>
        <color theme="1"/>
        <rFont val="Calibri (Body)"/>
      </rPr>
      <t xml:space="preserve">.
</t>
    </r>
    <r>
      <rPr>
        <b/>
        <sz val="12"/>
        <color theme="1"/>
        <rFont val="Calibri (Body)"/>
      </rPr>
      <t>D6.</t>
    </r>
    <r>
      <rPr>
        <sz val="12"/>
        <color theme="1"/>
        <rFont val="Calibri (Body)"/>
      </rPr>
      <t xml:space="preserve"> The minimum bulk/noxious weed weight for inclusion in Table 2A is automatically generated. 
</t>
    </r>
    <r>
      <rPr>
        <b/>
        <i/>
        <sz val="12"/>
        <color theme="1"/>
        <rFont val="Calibri (Body)"/>
      </rPr>
      <t>Before a new analysis for a different species, make sure to clear the data entered under A, B1, B4, C4, D1 and D5.</t>
    </r>
    <r>
      <rPr>
        <sz val="12"/>
        <color theme="1"/>
        <rFont val="Calibri (Body)"/>
      </rPr>
      <t xml:space="preserve">    </t>
    </r>
  </si>
  <si>
    <t>100-seed weight (g)</t>
  </si>
  <si>
    <t>Replication</t>
  </si>
  <si>
    <r>
      <rPr>
        <b/>
        <sz val="12"/>
        <color theme="1"/>
        <rFont val="Calibri (Body)"/>
      </rPr>
      <t>B1.</t>
    </r>
    <r>
      <rPr>
        <sz val="12"/>
        <color theme="1"/>
        <rFont val="Calibri (Body)"/>
      </rPr>
      <t xml:space="preserve"> Enter the weights of 8 replications (1-8) for a single sampled seedlot. Ignore the ranked results with marked red dots generated for the first 8 replicates. Ranked results are only used in Part C below.
</t>
    </r>
    <r>
      <rPr>
        <sz val="11"/>
        <color theme="1"/>
        <rFont val="Calibri"/>
        <family val="2"/>
        <scheme val="minor"/>
      </rPr>
      <t xml:space="preserve">
</t>
    </r>
    <r>
      <rPr>
        <b/>
        <sz val="12"/>
        <color theme="1"/>
        <rFont val="Calibri"/>
        <family val="2"/>
        <scheme val="minor"/>
      </rPr>
      <t>B2.</t>
    </r>
    <r>
      <rPr>
        <sz val="11"/>
        <color theme="1"/>
        <rFont val="Calibri"/>
        <family val="2"/>
        <scheme val="minor"/>
      </rPr>
      <t xml:space="preserve"> Check the CV. If the CV is 6% or less for chaffy kinds, or 4% or less for non-chaffy kinds, proceed to B3. If the CV is greater than 6% or 4% for chaffy and non-chaffy kinds, respectively, skip steps B3-B5 and go to part </t>
    </r>
    <r>
      <rPr>
        <b/>
        <sz val="12"/>
        <color theme="1"/>
        <rFont val="Calibri"/>
        <family val="2"/>
        <scheme val="minor"/>
      </rPr>
      <t>C</t>
    </r>
    <r>
      <rPr>
        <sz val="11"/>
        <color theme="1"/>
        <rFont val="Calibri"/>
        <family val="2"/>
        <scheme val="minor"/>
      </rPr>
      <t xml:space="preserve">. 
</t>
    </r>
    <r>
      <rPr>
        <b/>
        <sz val="12"/>
        <color theme="1"/>
        <rFont val="Calibri"/>
        <family val="2"/>
        <scheme val="minor"/>
      </rPr>
      <t xml:space="preserve">B3. </t>
    </r>
    <r>
      <rPr>
        <sz val="11"/>
        <color theme="1"/>
        <rFont val="Calibri"/>
        <family val="2"/>
        <scheme val="minor"/>
      </rPr>
      <t xml:space="preserve">The output shows the unrounded mean, with all possible rounding options. Use section 2.3a of AOSA Rules, vol. 1 (2021) to determine the correct number of decimals for your final answer. Section II.5 of the accompanying instructions also describes correct rounding.   
</t>
    </r>
    <r>
      <rPr>
        <b/>
        <sz val="12"/>
        <color theme="1"/>
        <rFont val="Calibri"/>
        <family val="2"/>
        <scheme val="minor"/>
      </rPr>
      <t xml:space="preserve">B4. </t>
    </r>
    <r>
      <rPr>
        <sz val="11"/>
        <color theme="1"/>
        <rFont val="Calibri"/>
        <family val="2"/>
        <scheme val="minor"/>
      </rPr>
      <t xml:space="preserve">Manually enter the correctly rounded mean from B3 in the provided field.
</t>
    </r>
    <r>
      <rPr>
        <b/>
        <sz val="12"/>
        <color theme="1"/>
        <rFont val="Calibri"/>
        <family val="2"/>
        <scheme val="minor"/>
      </rPr>
      <t>B5.</t>
    </r>
    <r>
      <rPr>
        <sz val="11"/>
        <color theme="1"/>
        <rFont val="Calibri"/>
        <family val="2"/>
        <scheme val="minor"/>
      </rPr>
      <t xml:space="preserve"> The purity and bulk/noxious weed exam weights are calculated for this seedlot. Enter this purity weight without further rounding in D1 for that seedlot. </t>
    </r>
    <r>
      <rPr>
        <i/>
        <sz val="12"/>
        <color theme="1"/>
        <rFont val="Calibri"/>
        <family val="2"/>
        <scheme val="minor"/>
      </rPr>
      <t xml:space="preserve">If you copy and paste the purity weight from B5 to D1, make sure you use the 'Paste as value' function in Excel. Otherwise, Excel will paste the equation for calculating the purity weight rather than the actual value. </t>
    </r>
    <r>
      <rPr>
        <i/>
        <u/>
        <sz val="12"/>
        <color theme="1"/>
        <rFont val="Calibri (Body)"/>
      </rPr>
      <t>Double clicking</t>
    </r>
    <r>
      <rPr>
        <i/>
        <u/>
        <sz val="12"/>
        <color theme="1"/>
        <rFont val="Calibri"/>
        <family val="2"/>
        <scheme val="minor"/>
      </rPr>
      <t xml:space="preserve"> on the destination cell </t>
    </r>
    <r>
      <rPr>
        <i/>
        <u/>
        <sz val="12"/>
        <color theme="1"/>
        <rFont val="Calibri (Body)"/>
      </rPr>
      <t>before</t>
    </r>
    <r>
      <rPr>
        <i/>
        <u/>
        <sz val="12"/>
        <color theme="1"/>
        <rFont val="Calibri"/>
        <family val="2"/>
        <scheme val="minor"/>
      </rPr>
      <t xml:space="preserve"> pasting</t>
    </r>
    <r>
      <rPr>
        <i/>
        <sz val="12"/>
        <color theme="1"/>
        <rFont val="Calibri"/>
        <family val="2"/>
        <scheme val="minor"/>
      </rPr>
      <t xml:space="preserve"> is a shortcut for pasting just cell values (double clicking only works for single cells, not when multiple cells are selected).</t>
    </r>
    <r>
      <rPr>
        <sz val="11"/>
        <color theme="1"/>
        <rFont val="Calibri"/>
        <family val="2"/>
        <scheme val="minor"/>
      </rPr>
      <t xml:space="preserve">
</t>
    </r>
    <r>
      <rPr>
        <b/>
        <i/>
        <sz val="12"/>
        <color theme="1"/>
        <rFont val="Calibri"/>
        <family val="2"/>
        <scheme val="minor"/>
      </rPr>
      <t xml:space="preserve">Repeat for samples from each seed lot. Before each new analysis, make sure you clear the contents you entered under B1 and B4. </t>
    </r>
    <r>
      <rPr>
        <sz val="11"/>
        <color theme="1"/>
        <rFont val="Calibri"/>
        <family val="2"/>
        <scheme val="minor"/>
      </rPr>
      <t xml:space="preserve">   </t>
    </r>
  </si>
  <si>
    <t>E1. Minimum purity working weight (g):</t>
  </si>
  <si>
    <t>E (Optional)</t>
  </si>
  <si>
    <t>D1. Average purity weight for each seed lot</t>
  </si>
  <si>
    <t>D
C1. For each seed lot, enter the lot identification information and the average purity weight (2500 seeds) generated in Part A5 or Part B6. You can enter data for up to 20 seed lots. If individual seed lot calculations were manually calculated, enter a</t>
  </si>
  <si>
    <r>
      <t xml:space="preserve">B1. </t>
    </r>
    <r>
      <rPr>
        <b/>
        <sz val="12"/>
        <color theme="1"/>
        <rFont val="Calibri (Body)"/>
      </rPr>
      <t>Data entry</t>
    </r>
  </si>
  <si>
    <t>B</t>
  </si>
  <si>
    <r>
      <t xml:space="preserve"> A
</t>
    </r>
    <r>
      <rPr>
        <b/>
        <sz val="14"/>
        <color theme="1"/>
        <rFont val="Calibri (Body)"/>
      </rPr>
      <t>Lot/sample identification</t>
    </r>
  </si>
  <si>
    <r>
      <t xml:space="preserve">-Start by entering all seed lot/sample IDs in Part A; you can enter and analyze data for up to 20 seedlots. 
-Follow instructions starting with part B, Part C if necessary, and then Part D. Part E is optional. Numbered instructions in each box (B, C, D, and E) refer to procedures in identically numbered parts of the calculator. 
-Parts B and C are used to calculate purity and bulk/noxious seed weights for individual seedlots. Part D is then used to determine the minimum purity and bulk/noxious weed working weights for inclusion in Table 2A of the Rules, vol. 1 (2022). Part E is optional (refer to accompanying PDF Instructions file).
</t>
    </r>
    <r>
      <rPr>
        <b/>
        <i/>
        <u/>
        <sz val="14"/>
        <color theme="1"/>
        <rFont val="Calibri (Body)"/>
      </rPr>
      <t>Before using this calculator, please read</t>
    </r>
    <r>
      <rPr>
        <b/>
        <i/>
        <sz val="14"/>
        <color theme="1"/>
        <rFont val="Calibri"/>
        <family val="2"/>
        <scheme val="minor"/>
      </rPr>
      <t xml:space="preserve"> the accompanying instructions document (Determining Purity-Bulk-Noxious exam Weights v3.pdf) for test requirements, method descriptions, and examples. </t>
    </r>
    <r>
      <rPr>
        <b/>
        <sz val="14"/>
        <color theme="1"/>
        <rFont val="Calibri"/>
        <family val="2"/>
        <scheme val="minor"/>
      </rPr>
      <t xml:space="preserve">
</t>
    </r>
  </si>
  <si>
    <t>MINIMUM PURITY/BULK/NOXIOUS WEED WEIGHTS CALCULATOR</t>
  </si>
  <si>
    <t>sample set not used in PW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</si>
</sst>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0"/>
    <numFmt numFmtId="166" formatCode="0.0000"/>
    <numFmt numFmtId="167" formatCode="0.0"/>
    <numFmt numFmtId="168" formatCode="0.00000"/>
  </numFmts>
  <fonts count="34">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sz val="12"/>
      <color rgb="FF000000"/>
      <name val="Calibri"/>
      <family val="2"/>
      <scheme val="minor"/>
    </font>
    <font>
      <b/>
      <sz val="14"/>
      <color theme="1"/>
      <name val="Calibri"/>
      <family val="2"/>
      <scheme val="minor"/>
    </font>
    <font>
      <b/>
      <sz val="12"/>
      <color theme="1"/>
      <name val="Calibri (Body)"/>
    </font>
    <font>
      <b/>
      <sz val="22"/>
      <color theme="1"/>
      <name val="Calibri"/>
      <family val="2"/>
      <scheme val="minor"/>
    </font>
    <font>
      <b/>
      <sz val="24"/>
      <color theme="0"/>
      <name val="Calibri"/>
      <family val="2"/>
      <scheme val="minor"/>
    </font>
    <font>
      <sz val="12"/>
      <color theme="1"/>
      <name val="Calibri (Body)"/>
    </font>
    <font>
      <b/>
      <sz val="12"/>
      <color rgb="FF000000"/>
      <name val="Calibri"/>
      <family val="2"/>
      <scheme val="minor"/>
    </font>
    <font>
      <b/>
      <sz val="18"/>
      <color theme="1"/>
      <name val="Calibri"/>
      <family val="2"/>
      <scheme val="minor"/>
    </font>
    <font>
      <b/>
      <sz val="20"/>
      <color theme="0"/>
      <name val="Calibri"/>
      <family val="2"/>
      <scheme val="minor"/>
    </font>
    <font>
      <b/>
      <i/>
      <sz val="16"/>
      <color rgb="FF0070C0"/>
      <name val="Calibri"/>
      <family val="2"/>
    </font>
    <font>
      <b/>
      <i/>
      <sz val="12"/>
      <color theme="1"/>
      <name val="Calibri"/>
      <family val="2"/>
      <scheme val="minor"/>
    </font>
    <font>
      <i/>
      <sz val="12"/>
      <color theme="1"/>
      <name val="Calibri"/>
      <family val="2"/>
      <scheme val="minor"/>
    </font>
    <font>
      <i/>
      <u/>
      <sz val="12"/>
      <color theme="1"/>
      <name val="Calibri"/>
      <family val="2"/>
      <scheme val="minor"/>
    </font>
    <font>
      <b/>
      <sz val="18"/>
      <color theme="4" tint="-0.249977111117893"/>
      <name val="Calibri"/>
      <family val="2"/>
      <scheme val="minor"/>
    </font>
    <font>
      <b/>
      <i/>
      <sz val="22"/>
      <color theme="4" tint="-0.249977111117893"/>
      <name val="Calibri (Body)"/>
    </font>
    <font>
      <i/>
      <sz val="12"/>
      <color theme="1"/>
      <name val="Calibri (Body)"/>
    </font>
    <font>
      <b/>
      <i/>
      <sz val="12"/>
      <color theme="1"/>
      <name val="Calibri (Body)"/>
    </font>
    <font>
      <b/>
      <sz val="14"/>
      <color rgb="FF000000"/>
      <name val="Calibri"/>
      <family val="2"/>
      <scheme val="minor"/>
    </font>
    <font>
      <i/>
      <u/>
      <sz val="12"/>
      <color theme="1"/>
      <name val="Calibri (Body)"/>
    </font>
    <font>
      <b/>
      <sz val="14"/>
      <color theme="1"/>
      <name val="Calibri (Body)"/>
    </font>
    <font>
      <b/>
      <sz val="12"/>
      <color theme="1"/>
      <name val="Calibri (Body)_x0000_"/>
    </font>
    <font>
      <b/>
      <i/>
      <u/>
      <sz val="14"/>
      <color theme="1"/>
      <name val="Calibri (Body)"/>
    </font>
    <font>
      <b/>
      <i/>
      <sz val="14"/>
      <color theme="1"/>
      <name val="Calibri"/>
      <family val="2"/>
      <scheme val="minor"/>
    </font>
    <font>
      <b/>
      <sz val="22"/>
      <color theme="0"/>
      <name val="Calibri"/>
      <family val="2"/>
      <scheme val="minor"/>
    </font>
    <font>
      <b/>
      <sz val="11"/>
      <name val="Calibri"/>
      <family val="2"/>
      <scheme val="minor"/>
    </font>
  </fonts>
  <fills count="14">
    <fill>
      <patternFill patternType="none"/>
    </fill>
    <fill>
      <patternFill patternType="gray125"/>
    </fill>
    <fill>
      <patternFill patternType="solid">
        <fgColor theme="5" tint="0.79998168889431442"/>
        <bgColor indexed="65"/>
      </patternFill>
    </fill>
    <fill>
      <patternFill patternType="solid">
        <fgColor theme="0"/>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F6F6F6"/>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3" tint="0.79998168889431442"/>
        <bgColor indexed="64"/>
      </patternFill>
    </fill>
    <fill>
      <patternFill patternType="solid">
        <fgColor rgb="FFFFF8ED"/>
        <bgColor indexed="64"/>
      </patternFill>
    </fill>
    <fill>
      <patternFill patternType="solid">
        <fgColor rgb="FFF6F4F3"/>
        <bgColor indexed="64"/>
      </patternFill>
    </fill>
  </fills>
  <borders count="66">
    <border>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style="thick">
        <color theme="4"/>
      </right>
      <top/>
      <bottom style="thick">
        <color theme="4"/>
      </bottom>
      <diagonal/>
    </border>
    <border>
      <left/>
      <right style="thin">
        <color theme="1"/>
      </right>
      <top/>
      <bottom style="thick">
        <color theme="4"/>
      </bottom>
      <diagonal/>
    </border>
    <border>
      <left style="thick">
        <color theme="4"/>
      </left>
      <right style="thick">
        <color theme="4"/>
      </right>
      <top/>
      <bottom style="thick">
        <color theme="4"/>
      </bottom>
      <diagonal/>
    </border>
    <border>
      <left style="thin">
        <color theme="1"/>
      </left>
      <right style="thick">
        <color theme="4"/>
      </right>
      <top style="thin">
        <color theme="1"/>
      </top>
      <bottom style="thin">
        <color theme="1"/>
      </bottom>
      <diagonal/>
    </border>
    <border>
      <left style="thick">
        <color theme="4"/>
      </left>
      <right style="thick">
        <color theme="4"/>
      </right>
      <top/>
      <bottom/>
      <diagonal/>
    </border>
    <border>
      <left/>
      <right style="thick">
        <color theme="4"/>
      </right>
      <top style="thick">
        <color theme="4"/>
      </top>
      <bottom style="thin">
        <color theme="1"/>
      </bottom>
      <diagonal/>
    </border>
    <border>
      <left/>
      <right/>
      <top style="thick">
        <color theme="4"/>
      </top>
      <bottom style="thin">
        <color theme="1"/>
      </bottom>
      <diagonal/>
    </border>
    <border>
      <left/>
      <right style="thick">
        <color theme="4"/>
      </right>
      <top style="thick">
        <color theme="4"/>
      </top>
      <bottom style="thick">
        <color theme="4"/>
      </bottom>
      <diagonal/>
    </border>
    <border>
      <left style="thin">
        <color theme="1"/>
      </left>
      <right style="thick">
        <color theme="4"/>
      </right>
      <top style="thick">
        <color theme="4"/>
      </top>
      <bottom style="thick">
        <color theme="4"/>
      </bottom>
      <diagonal/>
    </border>
    <border>
      <left/>
      <right style="thin">
        <color theme="1"/>
      </right>
      <top style="thick">
        <color theme="4"/>
      </top>
      <bottom style="thick">
        <color theme="4"/>
      </bottom>
      <diagonal/>
    </border>
    <border>
      <left style="thick">
        <color theme="4"/>
      </left>
      <right/>
      <top/>
      <bottom/>
      <diagonal/>
    </border>
    <border>
      <left style="thin">
        <color theme="1"/>
      </left>
      <right style="thick">
        <color theme="4"/>
      </right>
      <top/>
      <bottom/>
      <diagonal/>
    </border>
    <border>
      <left/>
      <right style="thin">
        <color theme="1"/>
      </right>
      <top/>
      <bottom/>
      <diagonal/>
    </border>
    <border>
      <left style="thin">
        <color theme="1"/>
      </left>
      <right style="thick">
        <color theme="4"/>
      </right>
      <top style="thin">
        <color theme="1"/>
      </top>
      <bottom/>
      <diagonal/>
    </border>
    <border>
      <left style="thin">
        <color theme="1"/>
      </left>
      <right style="thick">
        <color theme="4"/>
      </right>
      <top style="thick">
        <color theme="4"/>
      </top>
      <bottom/>
      <diagonal/>
    </border>
    <border>
      <left style="thick">
        <color theme="4"/>
      </left>
      <right style="thin">
        <color theme="1"/>
      </right>
      <top style="thick">
        <color theme="4"/>
      </top>
      <bottom style="thin">
        <color theme="1"/>
      </bottom>
      <diagonal/>
    </border>
    <border>
      <left style="thick">
        <color theme="4"/>
      </left>
      <right style="thin">
        <color theme="1"/>
      </right>
      <top style="thin">
        <color theme="1"/>
      </top>
      <bottom style="thick">
        <color theme="4"/>
      </bottom>
      <diagonal/>
    </border>
    <border>
      <left/>
      <right style="thin">
        <color theme="1"/>
      </right>
      <top/>
      <bottom style="thin">
        <color theme="1"/>
      </bottom>
      <diagonal/>
    </border>
    <border>
      <left/>
      <right style="thick">
        <color theme="4"/>
      </right>
      <top/>
      <bottom style="thin">
        <color theme="1"/>
      </bottom>
      <diagonal/>
    </border>
    <border>
      <left/>
      <right/>
      <top/>
      <bottom style="thin">
        <color theme="1"/>
      </bottom>
      <diagonal/>
    </border>
    <border>
      <left/>
      <right style="thick">
        <color theme="4"/>
      </right>
      <top/>
      <bottom/>
      <diagonal/>
    </border>
    <border>
      <left/>
      <right style="thick">
        <color theme="4"/>
      </right>
      <top style="thick">
        <color theme="4"/>
      </top>
      <bottom/>
      <diagonal/>
    </border>
    <border>
      <left style="thick">
        <color theme="4"/>
      </left>
      <right/>
      <top style="thick">
        <color theme="4"/>
      </top>
      <bottom/>
      <diagonal/>
    </border>
    <border>
      <left style="thick">
        <color rgb="FFC00000"/>
      </left>
      <right/>
      <top/>
      <bottom/>
      <diagonal/>
    </border>
    <border>
      <left style="thin">
        <color theme="1"/>
      </left>
      <right/>
      <top style="thick">
        <color rgb="FFC00000"/>
      </top>
      <bottom style="thick">
        <color rgb="FFC00000"/>
      </bottom>
      <diagonal/>
    </border>
    <border>
      <left/>
      <right/>
      <top style="thick">
        <color rgb="FFC00000"/>
      </top>
      <bottom style="thick">
        <color rgb="FFC00000"/>
      </bottom>
      <diagonal/>
    </border>
    <border>
      <left/>
      <right style="thin">
        <color theme="1"/>
      </right>
      <top style="thin">
        <color theme="1"/>
      </top>
      <bottom style="thick">
        <color theme="4"/>
      </bottom>
      <diagonal/>
    </border>
    <border>
      <left/>
      <right/>
      <top style="thick">
        <color theme="4"/>
      </top>
      <bottom style="thick">
        <color rgb="FFC00000"/>
      </bottom>
      <diagonal/>
    </border>
    <border>
      <left style="thick">
        <color theme="4"/>
      </left>
      <right/>
      <top/>
      <bottom style="thick">
        <color theme="4"/>
      </bottom>
      <diagonal/>
    </border>
    <border>
      <left/>
      <right style="thin">
        <color theme="1"/>
      </right>
      <top style="thin">
        <color theme="1"/>
      </top>
      <bottom/>
      <diagonal/>
    </border>
    <border>
      <left style="thick">
        <color theme="4"/>
      </left>
      <right/>
      <top style="thin">
        <color theme="1"/>
      </top>
      <bottom/>
      <diagonal/>
    </border>
    <border>
      <left style="thin">
        <color theme="1"/>
      </left>
      <right style="thick">
        <color theme="4"/>
      </right>
      <top style="thick">
        <color theme="4"/>
      </top>
      <bottom style="thin">
        <color theme="1"/>
      </bottom>
      <diagonal/>
    </border>
    <border>
      <left/>
      <right style="thin">
        <color theme="1"/>
      </right>
      <top style="thick">
        <color theme="4"/>
      </top>
      <bottom style="thin">
        <color theme="1"/>
      </bottom>
      <diagonal/>
    </border>
    <border>
      <left style="thick">
        <color theme="4"/>
      </left>
      <right/>
      <top style="thick">
        <color theme="4"/>
      </top>
      <bottom style="thin">
        <color theme="1"/>
      </bottom>
      <diagonal/>
    </border>
    <border>
      <left/>
      <right/>
      <top style="thick">
        <color theme="4"/>
      </top>
      <bottom style="thick">
        <color theme="4"/>
      </bottom>
      <diagonal/>
    </border>
    <border>
      <left style="thick">
        <color theme="4"/>
      </left>
      <right/>
      <top style="thick">
        <color theme="4"/>
      </top>
      <bottom style="thick">
        <color theme="4"/>
      </bottom>
      <diagonal/>
    </border>
    <border>
      <left style="thin">
        <color theme="1"/>
      </left>
      <right/>
      <top style="thin">
        <color theme="1"/>
      </top>
      <bottom style="thick">
        <color theme="4"/>
      </bottom>
      <diagonal/>
    </border>
    <border>
      <left style="thin">
        <color theme="1"/>
      </left>
      <right style="thin">
        <color theme="1"/>
      </right>
      <top style="thin">
        <color theme="1"/>
      </top>
      <bottom style="thick">
        <color theme="4"/>
      </bottom>
      <diagonal/>
    </border>
    <border>
      <left/>
      <right/>
      <top style="thick">
        <color theme="4"/>
      </top>
      <bottom/>
      <diagonal/>
    </border>
    <border>
      <left/>
      <right style="thick">
        <color theme="4"/>
      </right>
      <top/>
      <bottom style="thick">
        <color theme="4"/>
      </bottom>
      <diagonal/>
    </border>
    <border>
      <left style="thin">
        <color theme="1"/>
      </left>
      <right style="thick">
        <color theme="4"/>
      </right>
      <top style="thin">
        <color indexed="64"/>
      </top>
      <bottom/>
      <diagonal/>
    </border>
    <border>
      <left style="thick">
        <color theme="4"/>
      </left>
      <right/>
      <top style="thin">
        <color theme="1"/>
      </top>
      <bottom style="thick">
        <color theme="4"/>
      </bottom>
      <diagonal/>
    </border>
    <border>
      <left style="thick">
        <color theme="4"/>
      </left>
      <right style="thick">
        <color theme="4"/>
      </right>
      <top style="thick">
        <color theme="4"/>
      </top>
      <bottom/>
      <diagonal/>
    </border>
    <border>
      <left/>
      <right style="thick">
        <color theme="4"/>
      </right>
      <top style="thin">
        <color theme="1"/>
      </top>
      <bottom style="thin">
        <color theme="1"/>
      </bottom>
      <diagonal/>
    </border>
    <border>
      <left style="thick">
        <color theme="4"/>
      </left>
      <right style="thin">
        <color theme="1"/>
      </right>
      <top style="thin">
        <color theme="1"/>
      </top>
      <bottom style="thin">
        <color theme="1"/>
      </bottom>
      <diagonal/>
    </border>
    <border>
      <left style="thick">
        <color theme="4"/>
      </left>
      <right/>
      <top style="thin">
        <color theme="1"/>
      </top>
      <bottom style="thin">
        <color theme="1"/>
      </bottom>
      <diagonal/>
    </border>
    <border>
      <left style="thick">
        <color theme="4"/>
      </left>
      <right style="thin">
        <color theme="1"/>
      </right>
      <top/>
      <bottom/>
      <diagonal/>
    </border>
    <border>
      <left style="thin">
        <color theme="1"/>
      </left>
      <right style="thick">
        <color theme="4"/>
      </right>
      <top style="thin">
        <color theme="1"/>
      </top>
      <bottom style="thick">
        <color theme="4"/>
      </bottom>
      <diagonal/>
    </border>
    <border>
      <left/>
      <right style="thick">
        <color theme="4"/>
      </right>
      <top style="thin">
        <color theme="1"/>
      </top>
      <bottom/>
      <diagonal/>
    </border>
    <border>
      <left style="thick">
        <color theme="4"/>
      </left>
      <right style="thin">
        <color theme="1"/>
      </right>
      <top style="thin">
        <color theme="1"/>
      </top>
      <bottom/>
      <diagonal/>
    </border>
    <border>
      <left style="thin">
        <color theme="1"/>
      </left>
      <right style="thick">
        <color theme="4"/>
      </right>
      <top/>
      <bottom style="thin">
        <color theme="1"/>
      </bottom>
      <diagonal/>
    </border>
    <border>
      <left/>
      <right style="thin">
        <color theme="1"/>
      </right>
      <top style="double">
        <color theme="1"/>
      </top>
      <bottom style="thin">
        <color theme="1"/>
      </bottom>
      <diagonal/>
    </border>
    <border>
      <left style="thin">
        <color theme="1"/>
      </left>
      <right style="thick">
        <color theme="4"/>
      </right>
      <top style="thin">
        <color theme="1"/>
      </top>
      <bottom style="double">
        <color theme="1"/>
      </bottom>
      <diagonal/>
    </border>
    <border>
      <left style="thick">
        <color theme="4"/>
      </left>
      <right/>
      <top/>
      <bottom style="thin">
        <color theme="1"/>
      </bottom>
      <diagonal/>
    </border>
    <border>
      <left style="thin">
        <color theme="1"/>
      </left>
      <right style="thick">
        <color theme="4"/>
      </right>
      <top style="thin">
        <color theme="1"/>
      </top>
      <bottom style="thin">
        <color indexed="64"/>
      </bottom>
      <diagonal/>
    </border>
  </borders>
  <cellStyleXfs count="3">
    <xf numFmtId="0" fontId="0" fillId="0" borderId="0"/>
    <xf numFmtId="0" fontId="5" fillId="0" borderId="0"/>
    <xf numFmtId="0" fontId="5" fillId="2" borderId="0" applyNumberFormat="0" applyBorder="0" applyAlignment="0" applyProtection="0"/>
  </cellStyleXfs>
  <cellXfs count="247">
    <xf numFmtId="0" fontId="0" fillId="0" borderId="0" xfId="0"/>
    <xf numFmtId="0" fontId="2" fillId="0" borderId="0" xfId="0" applyFont="1"/>
    <xf numFmtId="0" fontId="1" fillId="0" borderId="0" xfId="0" applyFont="1"/>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0" fillId="0" borderId="0" xfId="0" applyNumberFormat="1" applyBorder="1"/>
    <xf numFmtId="164" fontId="0" fillId="0" borderId="0" xfId="0" applyNumberFormat="1" applyFill="1" applyBorder="1"/>
    <xf numFmtId="164" fontId="0" fillId="0" borderId="1" xfId="0" applyNumberFormat="1" applyBorder="1"/>
    <xf numFmtId="164" fontId="0" fillId="0" borderId="1" xfId="0" applyNumberFormat="1" applyFill="1" applyBorder="1"/>
    <xf numFmtId="0" fontId="1" fillId="0" borderId="0" xfId="0" applyFont="1" applyBorder="1" applyAlignment="1">
      <alignment horizontal="right"/>
    </xf>
    <xf numFmtId="0" fontId="1" fillId="0" borderId="1" xfId="0" applyFont="1" applyBorder="1"/>
    <xf numFmtId="164" fontId="0" fillId="0" borderId="0" xfId="0" applyNumberFormat="1" applyBorder="1" applyProtection="1">
      <protection locked="0"/>
    </xf>
    <xf numFmtId="164" fontId="0" fillId="0" borderId="1" xfId="0" applyNumberFormat="1" applyBorder="1" applyProtection="1">
      <protection locked="0"/>
    </xf>
    <xf numFmtId="0" fontId="1" fillId="0" borderId="2" xfId="0" applyFont="1" applyBorder="1"/>
    <xf numFmtId="164" fontId="1" fillId="0" borderId="0" xfId="0" applyNumberFormat="1" applyFont="1"/>
    <xf numFmtId="164" fontId="1" fillId="0" borderId="0" xfId="0" applyNumberFormat="1" applyFont="1" applyAlignment="1">
      <alignment horizontal="right"/>
    </xf>
    <xf numFmtId="164" fontId="0" fillId="0" borderId="2" xfId="0" applyNumberFormat="1" applyBorder="1"/>
    <xf numFmtId="0" fontId="0" fillId="0" borderId="2" xfId="0" applyBorder="1"/>
    <xf numFmtId="0" fontId="4" fillId="0" borderId="0" xfId="0" applyFont="1"/>
    <xf numFmtId="0" fontId="0" fillId="0" borderId="3" xfId="0" applyBorder="1"/>
    <xf numFmtId="0" fontId="5" fillId="3" borderId="0" xfId="1" applyFill="1"/>
    <xf numFmtId="0" fontId="5" fillId="3" borderId="0" xfId="1" applyFill="1" applyProtection="1">
      <protection hidden="1"/>
    </xf>
    <xf numFmtId="0" fontId="6" fillId="3" borderId="5" xfId="1" applyFont="1" applyFill="1" applyBorder="1" applyAlignment="1" applyProtection="1">
      <alignment horizontal="right"/>
      <protection hidden="1"/>
    </xf>
    <xf numFmtId="0" fontId="6" fillId="3" borderId="5" xfId="1" applyFont="1" applyFill="1" applyBorder="1" applyAlignment="1" applyProtection="1">
      <alignment horizontal="left"/>
      <protection hidden="1"/>
    </xf>
    <xf numFmtId="0" fontId="5" fillId="3" borderId="0" xfId="1" applyFill="1" applyAlignment="1" applyProtection="1">
      <alignment horizontal="center"/>
      <protection hidden="1"/>
    </xf>
    <xf numFmtId="165" fontId="6" fillId="3" borderId="5" xfId="1" applyNumberFormat="1" applyFont="1" applyFill="1" applyBorder="1" applyAlignment="1" applyProtection="1">
      <alignment horizontal="right"/>
      <protection hidden="1"/>
    </xf>
    <xf numFmtId="166" fontId="6" fillId="3" borderId="5" xfId="1" applyNumberFormat="1" applyFont="1" applyFill="1" applyBorder="1" applyAlignment="1" applyProtection="1">
      <alignment horizontal="right"/>
      <protection hidden="1"/>
    </xf>
    <xf numFmtId="166" fontId="5" fillId="3" borderId="0" xfId="1" applyNumberFormat="1" applyFill="1" applyAlignment="1" applyProtection="1">
      <alignment horizontal="center"/>
      <protection hidden="1"/>
    </xf>
    <xf numFmtId="0" fontId="7" fillId="3" borderId="5" xfId="1" applyFont="1" applyFill="1" applyBorder="1" applyProtection="1">
      <protection hidden="1"/>
    </xf>
    <xf numFmtId="0" fontId="6" fillId="3" borderId="5" xfId="1" applyFont="1" applyFill="1" applyBorder="1" applyProtection="1">
      <protection hidden="1"/>
    </xf>
    <xf numFmtId="166" fontId="5" fillId="3" borderId="5" xfId="1" applyNumberFormat="1" applyFill="1" applyBorder="1" applyAlignment="1" applyProtection="1">
      <alignment horizontal="center"/>
      <protection hidden="1"/>
    </xf>
    <xf numFmtId="0" fontId="5" fillId="3" borderId="5" xfId="1" applyFill="1" applyBorder="1" applyAlignment="1" applyProtection="1">
      <alignment horizontal="center"/>
      <protection hidden="1"/>
    </xf>
    <xf numFmtId="0" fontId="8" fillId="3" borderId="5" xfId="1" applyFont="1" applyFill="1" applyBorder="1" applyAlignment="1" applyProtection="1">
      <alignment horizontal="center"/>
      <protection hidden="1"/>
    </xf>
    <xf numFmtId="0" fontId="6" fillId="3" borderId="6" xfId="1" applyFont="1" applyFill="1" applyBorder="1" applyAlignment="1" applyProtection="1">
      <alignment horizontal="right"/>
      <protection hidden="1"/>
    </xf>
    <xf numFmtId="0" fontId="7" fillId="3" borderId="5" xfId="1" applyFont="1" applyFill="1" applyBorder="1" applyAlignment="1" applyProtection="1">
      <alignment horizontal="center"/>
      <protection hidden="1"/>
    </xf>
    <xf numFmtId="0" fontId="6" fillId="3" borderId="5" xfId="1" applyFont="1" applyFill="1" applyBorder="1" applyAlignment="1" applyProtection="1">
      <alignment horizontal="center"/>
      <protection hidden="1"/>
    </xf>
    <xf numFmtId="0" fontId="6" fillId="3" borderId="7" xfId="1" applyFont="1" applyFill="1" applyBorder="1" applyAlignment="1" applyProtection="1">
      <alignment horizontal="right"/>
      <protection hidden="1"/>
    </xf>
    <xf numFmtId="0" fontId="5" fillId="3" borderId="5" xfId="1" applyFill="1" applyBorder="1" applyProtection="1">
      <protection hidden="1"/>
    </xf>
    <xf numFmtId="165" fontId="6" fillId="3" borderId="7" xfId="1" applyNumberFormat="1" applyFont="1" applyFill="1" applyBorder="1" applyAlignment="1" applyProtection="1">
      <alignment horizontal="right"/>
      <protection hidden="1"/>
    </xf>
    <xf numFmtId="0" fontId="5" fillId="3" borderId="7" xfId="1" applyFill="1" applyBorder="1" applyProtection="1">
      <protection hidden="1"/>
    </xf>
    <xf numFmtId="166" fontId="6" fillId="3" borderId="7" xfId="1" applyNumberFormat="1" applyFont="1" applyFill="1" applyBorder="1" applyAlignment="1" applyProtection="1">
      <alignment horizontal="right"/>
      <protection hidden="1"/>
    </xf>
    <xf numFmtId="0" fontId="7" fillId="3" borderId="7" xfId="1" applyFont="1" applyFill="1" applyBorder="1" applyProtection="1">
      <protection hidden="1"/>
    </xf>
    <xf numFmtId="166" fontId="5" fillId="3" borderId="7" xfId="1" applyNumberFormat="1" applyFill="1" applyBorder="1" applyAlignment="1" applyProtection="1">
      <alignment horizontal="center"/>
      <protection hidden="1"/>
    </xf>
    <xf numFmtId="0" fontId="9" fillId="4" borderId="8" xfId="1" applyFont="1" applyFill="1" applyBorder="1" applyProtection="1">
      <protection hidden="1"/>
    </xf>
    <xf numFmtId="0" fontId="9" fillId="4" borderId="9" xfId="1" applyFont="1" applyFill="1" applyBorder="1" applyProtection="1">
      <protection hidden="1"/>
    </xf>
    <xf numFmtId="166" fontId="5" fillId="3" borderId="7" xfId="1" applyNumberFormat="1" applyFill="1" applyBorder="1" applyProtection="1">
      <protection hidden="1"/>
    </xf>
    <xf numFmtId="0" fontId="5" fillId="3" borderId="0" xfId="1" applyFill="1" applyProtection="1">
      <protection locked="0"/>
    </xf>
    <xf numFmtId="0" fontId="5" fillId="3" borderId="10" xfId="1" applyFill="1" applyBorder="1" applyProtection="1">
      <protection hidden="1"/>
    </xf>
    <xf numFmtId="0" fontId="5" fillId="3" borderId="0" xfId="1" applyFill="1" applyAlignment="1" applyProtection="1">
      <alignment horizontal="center"/>
      <protection locked="0"/>
    </xf>
    <xf numFmtId="9" fontId="5" fillId="3" borderId="0" xfId="1" applyNumberFormat="1" applyFill="1" applyAlignment="1" applyProtection="1">
      <alignment horizontal="center"/>
      <protection locked="0"/>
    </xf>
    <xf numFmtId="0" fontId="7" fillId="3" borderId="7" xfId="1" applyFont="1" applyFill="1" applyBorder="1" applyAlignment="1" applyProtection="1">
      <alignment horizontal="center"/>
      <protection hidden="1"/>
    </xf>
    <xf numFmtId="166" fontId="5" fillId="3" borderId="0" xfId="1" applyNumberFormat="1" applyFill="1" applyAlignment="1" applyProtection="1">
      <alignment horizontal="center"/>
      <protection locked="0"/>
    </xf>
    <xf numFmtId="0" fontId="6" fillId="3" borderId="0" xfId="1" applyFont="1" applyFill="1" applyAlignment="1" applyProtection="1">
      <alignment horizontal="center"/>
      <protection hidden="1"/>
    </xf>
    <xf numFmtId="167" fontId="10" fillId="3" borderId="0" xfId="1" applyNumberFormat="1" applyFont="1" applyFill="1" applyAlignment="1">
      <alignment horizontal="center" vertical="center"/>
    </xf>
    <xf numFmtId="0" fontId="6" fillId="3" borderId="0" xfId="1" applyFont="1" applyFill="1" applyAlignment="1">
      <alignment horizontal="left" vertical="top" wrapText="1"/>
    </xf>
    <xf numFmtId="2" fontId="10" fillId="3" borderId="0" xfId="1" applyNumberFormat="1" applyFont="1" applyFill="1" applyAlignment="1">
      <alignment horizontal="center" vertical="center"/>
    </xf>
    <xf numFmtId="0" fontId="6" fillId="5" borderId="11" xfId="1" applyFont="1" applyFill="1" applyBorder="1" applyAlignment="1">
      <alignment horizontal="center" vertical="center"/>
    </xf>
    <xf numFmtId="0" fontId="6" fillId="6" borderId="12" xfId="2" applyFont="1" applyFill="1" applyBorder="1" applyAlignment="1" applyProtection="1">
      <alignment horizontal="center" vertical="center" wrapText="1"/>
    </xf>
    <xf numFmtId="164" fontId="10" fillId="3" borderId="0" xfId="1" applyNumberFormat="1" applyFont="1" applyFill="1" applyAlignment="1">
      <alignment horizontal="center" vertical="center"/>
    </xf>
    <xf numFmtId="0" fontId="6" fillId="5" borderId="14" xfId="2" applyFont="1" applyFill="1" applyBorder="1" applyAlignment="1" applyProtection="1">
      <alignment horizontal="center" vertical="center" wrapText="1"/>
    </xf>
    <xf numFmtId="0" fontId="6" fillId="6" borderId="10" xfId="2" applyFont="1" applyFill="1" applyBorder="1" applyAlignment="1" applyProtection="1">
      <alignment horizontal="center" vertical="center" wrapText="1"/>
    </xf>
    <xf numFmtId="166" fontId="10" fillId="3" borderId="0" xfId="1" applyNumberFormat="1" applyFont="1" applyFill="1" applyAlignment="1">
      <alignment horizontal="center" vertical="center"/>
    </xf>
    <xf numFmtId="168" fontId="10" fillId="3" borderId="0" xfId="2" applyNumberFormat="1" applyFont="1" applyFill="1" applyBorder="1" applyAlignment="1" applyProtection="1">
      <alignment horizontal="center" vertical="center" wrapText="1"/>
    </xf>
    <xf numFmtId="0" fontId="5" fillId="3" borderId="18" xfId="1" applyFill="1" applyBorder="1"/>
    <xf numFmtId="0" fontId="6" fillId="5" borderId="19" xfId="2" applyFont="1" applyFill="1" applyBorder="1" applyAlignment="1" applyProtection="1">
      <alignment horizontal="center" vertical="center" wrapText="1"/>
      <protection locked="0"/>
    </xf>
    <xf numFmtId="0" fontId="0" fillId="7" borderId="20" xfId="2" applyFont="1" applyFill="1" applyBorder="1" applyAlignment="1" applyProtection="1">
      <alignment horizontal="center" vertical="center" wrapText="1"/>
    </xf>
    <xf numFmtId="167" fontId="6" fillId="3" borderId="21" xfId="2" applyNumberFormat="1" applyFont="1" applyFill="1" applyBorder="1" applyAlignment="1" applyProtection="1">
      <alignment horizontal="center" vertical="center" wrapText="1"/>
    </xf>
    <xf numFmtId="1" fontId="6" fillId="6" borderId="11" xfId="1" applyNumberFormat="1" applyFont="1" applyFill="1" applyBorder="1" applyAlignment="1">
      <alignment horizontal="center"/>
    </xf>
    <xf numFmtId="0" fontId="5" fillId="6" borderId="12" xfId="1" applyFill="1" applyBorder="1" applyAlignment="1">
      <alignment horizontal="center" vertical="center"/>
    </xf>
    <xf numFmtId="0" fontId="5" fillId="3" borderId="0" xfId="1" applyFill="1" applyAlignment="1">
      <alignment horizontal="left" vertical="top"/>
    </xf>
    <xf numFmtId="167" fontId="6" fillId="6" borderId="22" xfId="1" applyNumberFormat="1" applyFont="1" applyFill="1" applyBorder="1" applyAlignment="1">
      <alignment horizontal="center"/>
    </xf>
    <xf numFmtId="0" fontId="5" fillId="6" borderId="23" xfId="1" applyFill="1" applyBorder="1" applyAlignment="1">
      <alignment horizontal="center" vertical="center"/>
    </xf>
    <xf numFmtId="2" fontId="6" fillId="6" borderId="22" xfId="1" applyNumberFormat="1" applyFont="1" applyFill="1" applyBorder="1" applyAlignment="1">
      <alignment horizontal="center"/>
    </xf>
    <xf numFmtId="164" fontId="6" fillId="6" borderId="22" xfId="1" applyNumberFormat="1" applyFont="1" applyFill="1" applyBorder="1" applyAlignment="1">
      <alignment horizontal="center"/>
    </xf>
    <xf numFmtId="166" fontId="6" fillId="6" borderId="24" xfId="1" applyNumberFormat="1" applyFont="1" applyFill="1" applyBorder="1" applyAlignment="1">
      <alignment horizontal="center"/>
    </xf>
    <xf numFmtId="0" fontId="12" fillId="3" borderId="0" xfId="1" applyFont="1" applyFill="1" applyAlignment="1">
      <alignment horizontal="left" vertical="top" wrapText="1"/>
    </xf>
    <xf numFmtId="0" fontId="13" fillId="3" borderId="0" xfId="1" applyFont="1" applyFill="1" applyAlignment="1">
      <alignment horizontal="center" vertical="center" textRotation="90"/>
    </xf>
    <xf numFmtId="165" fontId="6" fillId="5" borderId="25" xfId="2" applyNumberFormat="1" applyFont="1" applyFill="1" applyBorder="1" applyAlignment="1" applyProtection="1">
      <alignment horizontal="center" vertical="center" wrapText="1"/>
    </xf>
    <xf numFmtId="0" fontId="5" fillId="7" borderId="26" xfId="1" applyFill="1" applyBorder="1" applyAlignment="1">
      <alignment horizontal="center" vertical="center"/>
    </xf>
    <xf numFmtId="0" fontId="5" fillId="3" borderId="0" xfId="1" applyFill="1" applyAlignment="1">
      <alignment vertical="top"/>
    </xf>
    <xf numFmtId="0" fontId="15" fillId="5" borderId="11" xfId="1" applyFont="1" applyFill="1" applyBorder="1" applyAlignment="1">
      <alignment horizontal="center" vertical="center"/>
    </xf>
    <xf numFmtId="0" fontId="6" fillId="6" borderId="27" xfId="1" applyFont="1" applyFill="1" applyBorder="1" applyAlignment="1">
      <alignment horizontal="center" vertical="center"/>
    </xf>
    <xf numFmtId="0" fontId="15" fillId="3" borderId="0" xfId="1" applyFont="1" applyFill="1" applyAlignment="1">
      <alignment horizontal="left" vertical="top"/>
    </xf>
    <xf numFmtId="0" fontId="15" fillId="5" borderId="14" xfId="1" applyFont="1" applyFill="1" applyBorder="1" applyAlignment="1">
      <alignment horizontal="center" vertical="center"/>
    </xf>
    <xf numFmtId="0" fontId="6" fillId="6" borderId="10" xfId="1" applyFont="1" applyFill="1" applyBorder="1" applyAlignment="1">
      <alignment horizontal="center" vertical="center"/>
    </xf>
    <xf numFmtId="0" fontId="10" fillId="3" borderId="0" xfId="1" applyFont="1" applyFill="1" applyAlignment="1">
      <alignment horizontal="center"/>
    </xf>
    <xf numFmtId="0" fontId="15" fillId="8" borderId="14" xfId="1" applyFont="1" applyFill="1" applyBorder="1" applyAlignment="1">
      <alignment horizontal="center" vertical="center"/>
    </xf>
    <xf numFmtId="0" fontId="6" fillId="8" borderId="28" xfId="1" applyFont="1" applyFill="1" applyBorder="1" applyAlignment="1">
      <alignment horizontal="center" vertical="center"/>
    </xf>
    <xf numFmtId="0" fontId="10" fillId="3" borderId="0" xfId="2" applyFont="1" applyFill="1" applyBorder="1" applyAlignment="1" applyProtection="1">
      <alignment horizontal="center" vertical="center" wrapText="1"/>
    </xf>
    <xf numFmtId="0" fontId="5" fillId="3" borderId="34" xfId="1" applyFill="1" applyBorder="1"/>
    <xf numFmtId="0" fontId="6" fillId="5" borderId="35" xfId="2" applyNumberFormat="1" applyFont="1" applyFill="1" applyBorder="1" applyAlignment="1" applyProtection="1">
      <alignment horizontal="center" vertical="center" wrapText="1"/>
    </xf>
    <xf numFmtId="167" fontId="6" fillId="5" borderId="19" xfId="2" applyNumberFormat="1" applyFont="1" applyFill="1" applyBorder="1" applyAlignment="1" applyProtection="1">
      <alignment horizontal="center" vertical="center" wrapText="1"/>
    </xf>
    <xf numFmtId="0" fontId="6" fillId="7" borderId="20" xfId="2" applyFont="1" applyFill="1" applyBorder="1" applyAlignment="1" applyProtection="1">
      <alignment horizontal="center" vertical="center" wrapText="1"/>
    </xf>
    <xf numFmtId="0" fontId="5" fillId="3" borderId="21" xfId="1" applyFill="1" applyBorder="1"/>
    <xf numFmtId="0" fontId="5" fillId="3" borderId="36" xfId="1" applyFill="1" applyBorder="1"/>
    <xf numFmtId="0" fontId="16" fillId="3" borderId="0" xfId="1" applyFont="1" applyFill="1" applyAlignment="1">
      <alignment vertical="top" wrapText="1"/>
    </xf>
    <xf numFmtId="0" fontId="6" fillId="5" borderId="35" xfId="2" applyNumberFormat="1" applyFont="1" applyFill="1" applyBorder="1" applyAlignment="1" applyProtection="1">
      <alignment horizontal="center" vertical="center" wrapText="1"/>
      <protection locked="0"/>
    </xf>
    <xf numFmtId="0" fontId="6" fillId="6" borderId="37" xfId="2" applyFont="1" applyFill="1" applyBorder="1" applyAlignment="1" applyProtection="1">
      <alignment horizontal="center" vertical="center" wrapText="1"/>
    </xf>
    <xf numFmtId="0" fontId="6" fillId="5" borderId="14" xfId="1" applyFont="1" applyFill="1" applyBorder="1" applyAlignment="1">
      <alignment horizontal="center" vertical="center"/>
    </xf>
    <xf numFmtId="1" fontId="5" fillId="6" borderId="11" xfId="1" applyNumberFormat="1" applyFill="1" applyBorder="1" applyAlignment="1">
      <alignment horizontal="center" vertical="center"/>
    </xf>
    <xf numFmtId="0" fontId="5" fillId="6" borderId="12" xfId="1" applyFill="1" applyBorder="1" applyAlignment="1">
      <alignment horizontal="center" vertical="center"/>
    </xf>
    <xf numFmtId="167" fontId="5" fillId="6" borderId="22" xfId="1" applyNumberFormat="1" applyFill="1" applyBorder="1" applyAlignment="1">
      <alignment horizontal="center" vertical="center"/>
    </xf>
    <xf numFmtId="0" fontId="5" fillId="6" borderId="23" xfId="1" applyFill="1" applyBorder="1" applyAlignment="1">
      <alignment horizontal="center" vertical="center"/>
    </xf>
    <xf numFmtId="0" fontId="16" fillId="3" borderId="0" xfId="1" quotePrefix="1" applyFont="1" applyFill="1" applyAlignment="1">
      <alignment vertical="top" wrapText="1"/>
    </xf>
    <xf numFmtId="2" fontId="5" fillId="6" borderId="22" xfId="1" applyNumberFormat="1" applyFill="1" applyBorder="1" applyAlignment="1">
      <alignment horizontal="center" vertical="center"/>
    </xf>
    <xf numFmtId="0" fontId="0" fillId="11" borderId="20" xfId="2" applyFont="1" applyFill="1" applyBorder="1" applyAlignment="1" applyProtection="1">
      <alignment horizontal="center" vertical="center" wrapText="1"/>
    </xf>
    <xf numFmtId="168" fontId="6" fillId="5" borderId="42" xfId="1" applyNumberFormat="1" applyFont="1" applyFill="1" applyBorder="1" applyAlignment="1">
      <alignment horizontal="center" vertical="center"/>
    </xf>
    <xf numFmtId="1" fontId="6" fillId="6" borderId="11" xfId="1" applyNumberFormat="1" applyFont="1" applyFill="1" applyBorder="1" applyAlignment="1">
      <alignment horizontal="center" vertical="center"/>
    </xf>
    <xf numFmtId="166" fontId="6" fillId="5" borderId="19" xfId="2" applyNumberFormat="1" applyFont="1" applyFill="1" applyBorder="1" applyAlignment="1" applyProtection="1">
      <alignment horizontal="center" vertical="center" wrapText="1"/>
    </xf>
    <xf numFmtId="167" fontId="6" fillId="6" borderId="22" xfId="1" applyNumberFormat="1" applyFont="1" applyFill="1" applyBorder="1" applyAlignment="1">
      <alignment horizontal="center" vertical="center"/>
    </xf>
    <xf numFmtId="2" fontId="6" fillId="6" borderId="22" xfId="1" applyNumberFormat="1" applyFont="1" applyFill="1" applyBorder="1" applyAlignment="1">
      <alignment horizontal="center" vertical="center"/>
    </xf>
    <xf numFmtId="0" fontId="15" fillId="6" borderId="47" xfId="1" applyFont="1" applyFill="1" applyBorder="1" applyAlignment="1">
      <alignment horizontal="center" vertical="center"/>
    </xf>
    <xf numFmtId="0" fontId="15" fillId="6" borderId="48" xfId="1" applyFont="1" applyFill="1" applyBorder="1" applyAlignment="1">
      <alignment horizontal="center" vertical="center"/>
    </xf>
    <xf numFmtId="164" fontId="6" fillId="6" borderId="22" xfId="1" applyNumberFormat="1" applyFont="1" applyFill="1" applyBorder="1" applyAlignment="1">
      <alignment horizontal="center" vertical="center"/>
    </xf>
    <xf numFmtId="0" fontId="5" fillId="3" borderId="49" xfId="1" applyFill="1" applyBorder="1"/>
    <xf numFmtId="0" fontId="10" fillId="3" borderId="0" xfId="1" quotePrefix="1" applyFont="1" applyFill="1" applyAlignment="1">
      <alignment horizontal="left" vertical="top" wrapText="1"/>
    </xf>
    <xf numFmtId="1" fontId="6" fillId="0" borderId="14" xfId="1" applyNumberFormat="1" applyFont="1" applyBorder="1" applyAlignment="1">
      <alignment horizontal="center"/>
    </xf>
    <xf numFmtId="0" fontId="15" fillId="0" borderId="6" xfId="1" applyFont="1" applyBorder="1" applyAlignment="1">
      <alignment horizontal="center" vertical="center"/>
    </xf>
    <xf numFmtId="0" fontId="15" fillId="3" borderId="6" xfId="1" applyFont="1" applyFill="1" applyBorder="1" applyAlignment="1">
      <alignment horizontal="center" vertical="center"/>
    </xf>
    <xf numFmtId="0" fontId="5" fillId="3" borderId="45" xfId="1" applyFill="1" applyBorder="1"/>
    <xf numFmtId="0" fontId="5" fillId="3" borderId="4" xfId="1" applyFill="1" applyBorder="1"/>
    <xf numFmtId="166" fontId="6" fillId="6" borderId="24" xfId="1" applyNumberFormat="1" applyFont="1" applyFill="1" applyBorder="1" applyAlignment="1">
      <alignment horizontal="center" vertical="center"/>
    </xf>
    <xf numFmtId="0" fontId="6" fillId="0" borderId="50" xfId="1" applyFont="1" applyBorder="1" applyAlignment="1" applyProtection="1">
      <alignment horizontal="center" vertical="center"/>
      <protection locked="0"/>
    </xf>
    <xf numFmtId="0" fontId="6" fillId="3" borderId="27" xfId="1" applyFont="1" applyFill="1" applyBorder="1" applyAlignment="1">
      <alignment horizontal="center"/>
    </xf>
    <xf numFmtId="1" fontId="6" fillId="6" borderId="14" xfId="1" applyNumberFormat="1" applyFont="1" applyFill="1" applyBorder="1" applyAlignment="1">
      <alignment horizontal="center"/>
    </xf>
    <xf numFmtId="0" fontId="15" fillId="6" borderId="6" xfId="1" applyFont="1" applyFill="1" applyBorder="1" applyAlignment="1">
      <alignment horizontal="center" vertical="center"/>
    </xf>
    <xf numFmtId="0" fontId="15" fillId="6" borderId="51" xfId="1" applyFont="1" applyFill="1" applyBorder="1" applyAlignment="1" applyProtection="1">
      <alignment horizontal="center" vertical="center"/>
      <protection locked="0"/>
    </xf>
    <xf numFmtId="0" fontId="15" fillId="6" borderId="52" xfId="1" applyFont="1" applyFill="1" applyBorder="1" applyAlignment="1">
      <alignment horizontal="center" vertical="center"/>
    </xf>
    <xf numFmtId="168" fontId="6" fillId="5" borderId="42" xfId="2" applyNumberFormat="1" applyFont="1" applyFill="1" applyBorder="1" applyAlignment="1" applyProtection="1">
      <alignment horizontal="center" vertical="center" wrapText="1"/>
    </xf>
    <xf numFmtId="0" fontId="0" fillId="11" borderId="26" xfId="2" applyFont="1" applyFill="1" applyBorder="1" applyAlignment="1" applyProtection="1">
      <alignment horizontal="center" vertical="center" wrapText="1"/>
    </xf>
    <xf numFmtId="0" fontId="10" fillId="7" borderId="53" xfId="1" applyFont="1" applyFill="1" applyBorder="1" applyAlignment="1">
      <alignment horizontal="center" vertical="top" wrapText="1"/>
    </xf>
    <xf numFmtId="0" fontId="6" fillId="13" borderId="54" xfId="1" applyFont="1" applyFill="1" applyBorder="1" applyAlignment="1" applyProtection="1">
      <alignment horizontal="center" vertical="center"/>
      <protection locked="0"/>
    </xf>
    <xf numFmtId="0" fontId="6" fillId="13" borderId="55" xfId="1" applyFont="1" applyFill="1" applyBorder="1" applyAlignment="1">
      <alignment horizontal="center"/>
    </xf>
    <xf numFmtId="0" fontId="5" fillId="3" borderId="31" xfId="1" applyFill="1" applyBorder="1"/>
    <xf numFmtId="0" fontId="15" fillId="3" borderId="51" xfId="1" applyFont="1" applyFill="1" applyBorder="1" applyAlignment="1" applyProtection="1">
      <alignment horizontal="center" vertical="center"/>
      <protection locked="0"/>
    </xf>
    <xf numFmtId="0" fontId="15" fillId="3" borderId="21" xfId="1" applyFont="1" applyFill="1" applyBorder="1" applyAlignment="1">
      <alignment horizontal="center" vertical="center"/>
    </xf>
    <xf numFmtId="0" fontId="0" fillId="11" borderId="13" xfId="2" applyFont="1" applyFill="1" applyBorder="1" applyAlignment="1" applyProtection="1">
      <alignment horizontal="left" vertical="top" wrapText="1"/>
    </xf>
    <xf numFmtId="0" fontId="6" fillId="0" borderId="54" xfId="1" applyFont="1" applyBorder="1" applyAlignment="1" applyProtection="1">
      <alignment horizontal="center" vertical="center"/>
      <protection locked="0"/>
    </xf>
    <xf numFmtId="0" fontId="6" fillId="3" borderId="55" xfId="1" applyFont="1" applyFill="1" applyBorder="1" applyAlignment="1">
      <alignment horizontal="center"/>
    </xf>
    <xf numFmtId="0" fontId="15" fillId="6" borderId="56" xfId="1" applyFont="1" applyFill="1" applyBorder="1" applyAlignment="1">
      <alignment horizontal="center" vertical="center"/>
    </xf>
    <xf numFmtId="0" fontId="6" fillId="13" borderId="57" xfId="1" applyFont="1" applyFill="1" applyBorder="1" applyAlignment="1">
      <alignment horizontal="center"/>
    </xf>
    <xf numFmtId="0" fontId="15" fillId="3" borderId="55" xfId="1" applyFont="1" applyFill="1" applyBorder="1" applyAlignment="1">
      <alignment horizontal="center" vertical="center"/>
    </xf>
    <xf numFmtId="0" fontId="15" fillId="6" borderId="55" xfId="1" applyFont="1" applyFill="1" applyBorder="1" applyAlignment="1">
      <alignment horizontal="center" vertical="center"/>
    </xf>
    <xf numFmtId="0" fontId="15" fillId="6" borderId="58" xfId="1" applyFont="1" applyFill="1" applyBorder="1" applyAlignment="1" applyProtection="1">
      <alignment horizontal="center" vertical="center"/>
      <protection locked="0"/>
    </xf>
    <xf numFmtId="0" fontId="15" fillId="6" borderId="37" xfId="1" applyFont="1" applyFill="1" applyBorder="1" applyAlignment="1">
      <alignment horizontal="center" vertical="center"/>
    </xf>
    <xf numFmtId="0" fontId="6" fillId="13" borderId="59" xfId="1" applyFont="1" applyFill="1" applyBorder="1" applyAlignment="1" applyProtection="1">
      <alignment horizontal="center" vertical="center"/>
      <protection locked="0"/>
    </xf>
    <xf numFmtId="0" fontId="6" fillId="13" borderId="60" xfId="1" applyFont="1" applyFill="1" applyBorder="1" applyAlignment="1">
      <alignment horizontal="center"/>
    </xf>
    <xf numFmtId="0" fontId="15" fillId="3" borderId="60" xfId="1" applyFont="1" applyFill="1" applyBorder="1" applyAlignment="1">
      <alignment horizontal="center" vertical="center"/>
    </xf>
    <xf numFmtId="0" fontId="15" fillId="3" borderId="14" xfId="1" applyFont="1" applyFill="1" applyBorder="1" applyAlignment="1" applyProtection="1">
      <alignment horizontal="center" vertical="center"/>
      <protection locked="0"/>
    </xf>
    <xf numFmtId="0" fontId="15" fillId="3" borderId="23" xfId="1" applyFont="1" applyFill="1" applyBorder="1" applyAlignment="1">
      <alignment horizontal="center" vertical="center"/>
    </xf>
    <xf numFmtId="0" fontId="6" fillId="0" borderId="59" xfId="1" applyFont="1" applyBorder="1" applyAlignment="1" applyProtection="1">
      <alignment horizontal="center" vertical="center"/>
      <protection locked="0"/>
    </xf>
    <xf numFmtId="0" fontId="6" fillId="3" borderId="60" xfId="1" applyFont="1" applyFill="1" applyBorder="1" applyAlignment="1">
      <alignment horizontal="center"/>
    </xf>
    <xf numFmtId="0" fontId="15" fillId="6" borderId="21" xfId="1" applyFont="1" applyFill="1" applyBorder="1" applyAlignment="1">
      <alignment horizontal="center" vertical="center"/>
    </xf>
    <xf numFmtId="0" fontId="15" fillId="6" borderId="14" xfId="1" applyFont="1" applyFill="1" applyBorder="1" applyAlignment="1" applyProtection="1">
      <alignment horizontal="center" vertical="center"/>
      <protection locked="0"/>
    </xf>
    <xf numFmtId="0" fontId="15" fillId="6" borderId="10" xfId="1" applyFont="1" applyFill="1" applyBorder="1" applyAlignment="1">
      <alignment horizontal="center" vertical="center"/>
    </xf>
    <xf numFmtId="0" fontId="15" fillId="3" borderId="10" xfId="1" applyFont="1" applyFill="1" applyBorder="1" applyAlignment="1">
      <alignment horizontal="center" vertical="center"/>
    </xf>
    <xf numFmtId="0" fontId="15" fillId="6" borderId="60" xfId="1" applyFont="1" applyFill="1" applyBorder="1" applyAlignment="1">
      <alignment horizontal="center" vertical="center"/>
    </xf>
    <xf numFmtId="0" fontId="15" fillId="0" borderId="0" xfId="1" applyFont="1" applyAlignment="1">
      <alignment horizontal="center" vertical="center"/>
    </xf>
    <xf numFmtId="0" fontId="6" fillId="0" borderId="31" xfId="1" applyFont="1" applyBorder="1" applyAlignment="1" applyProtection="1">
      <alignment horizontal="center" vertical="center"/>
      <protection locked="0"/>
    </xf>
    <xf numFmtId="0" fontId="15" fillId="6" borderId="5" xfId="1" applyFont="1" applyFill="1" applyBorder="1" applyAlignment="1">
      <alignment horizontal="center" vertical="center"/>
    </xf>
    <xf numFmtId="0" fontId="15" fillId="0" borderId="5" xfId="1" applyFont="1" applyBorder="1" applyAlignment="1">
      <alignment horizontal="center" vertical="center"/>
    </xf>
    <xf numFmtId="0" fontId="15" fillId="3" borderId="61" xfId="1" applyFont="1" applyFill="1" applyBorder="1" applyAlignment="1" applyProtection="1">
      <alignment horizontal="center" vertical="center"/>
      <protection locked="0"/>
    </xf>
    <xf numFmtId="0" fontId="15" fillId="3" borderId="62" xfId="1" applyFont="1" applyFill="1" applyBorder="1" applyAlignment="1">
      <alignment horizontal="center" vertical="center"/>
    </xf>
    <xf numFmtId="0" fontId="15" fillId="6" borderId="63" xfId="1" applyFont="1" applyFill="1" applyBorder="1" applyAlignment="1" applyProtection="1">
      <alignment horizontal="center" vertical="center"/>
      <protection locked="0"/>
    </xf>
    <xf numFmtId="0" fontId="15" fillId="6" borderId="40" xfId="1" applyFont="1" applyFill="1" applyBorder="1" applyAlignment="1">
      <alignment horizontal="center" vertical="center"/>
    </xf>
    <xf numFmtId="0" fontId="6" fillId="13" borderId="31" xfId="1" applyFont="1" applyFill="1" applyBorder="1" applyAlignment="1" applyProtection="1">
      <alignment horizontal="center" vertical="center"/>
      <protection locked="0"/>
    </xf>
    <xf numFmtId="0" fontId="15" fillId="13" borderId="60" xfId="1" applyFont="1" applyFill="1" applyBorder="1" applyAlignment="1">
      <alignment horizontal="center" vertical="center"/>
    </xf>
    <xf numFmtId="0" fontId="15" fillId="3" borderId="57" xfId="1" applyFont="1" applyFill="1" applyBorder="1" applyAlignment="1">
      <alignment horizontal="center" vertical="center"/>
    </xf>
    <xf numFmtId="0" fontId="6" fillId="8" borderId="54" xfId="1" applyFont="1" applyFill="1" applyBorder="1" applyAlignment="1">
      <alignment horizontal="center" vertical="center"/>
    </xf>
    <xf numFmtId="0" fontId="6" fillId="8" borderId="5" xfId="1" applyFont="1" applyFill="1" applyBorder="1" applyAlignment="1">
      <alignment horizontal="center" vertical="center"/>
    </xf>
    <xf numFmtId="0" fontId="6" fillId="8" borderId="55" xfId="1" applyFont="1" applyFill="1" applyBorder="1" applyAlignment="1">
      <alignment horizontal="center" vertical="center"/>
    </xf>
    <xf numFmtId="0" fontId="5" fillId="3" borderId="31" xfId="1" applyFill="1" applyBorder="1" applyAlignment="1">
      <alignment horizontal="left" vertical="top"/>
    </xf>
    <xf numFmtId="0" fontId="15" fillId="13" borderId="55" xfId="1" applyFont="1" applyFill="1" applyBorder="1" applyAlignment="1">
      <alignment horizontal="center" vertical="center"/>
    </xf>
    <xf numFmtId="0" fontId="15" fillId="3" borderId="41"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64" xfId="1" applyFont="1" applyFill="1" applyBorder="1" applyAlignment="1">
      <alignment horizontal="center" vertical="center"/>
    </xf>
    <xf numFmtId="0" fontId="6" fillId="8" borderId="65" xfId="1" applyFont="1" applyFill="1" applyBorder="1" applyAlignment="1">
      <alignment horizontal="center" vertical="center" wrapText="1"/>
    </xf>
    <xf numFmtId="0" fontId="6" fillId="8" borderId="0" xfId="1" applyFont="1" applyFill="1" applyAlignment="1">
      <alignment horizontal="center" vertical="center"/>
    </xf>
    <xf numFmtId="0" fontId="6" fillId="3" borderId="0" xfId="1" applyFont="1" applyFill="1"/>
    <xf numFmtId="0" fontId="26" fillId="3" borderId="0" xfId="1" applyFont="1" applyFill="1" applyAlignment="1">
      <alignment horizontal="left" vertical="top"/>
    </xf>
    <xf numFmtId="0" fontId="6" fillId="8" borderId="14" xfId="1" applyFont="1" applyFill="1" applyBorder="1" applyAlignment="1">
      <alignment horizontal="center" vertical="center"/>
    </xf>
    <xf numFmtId="0" fontId="6" fillId="8" borderId="10" xfId="1" applyFont="1" applyFill="1" applyBorder="1" applyAlignment="1">
      <alignment horizontal="center" vertical="center"/>
    </xf>
    <xf numFmtId="0" fontId="6" fillId="5" borderId="18" xfId="1" applyFont="1" applyFill="1" applyBorder="1" applyAlignment="1">
      <alignment horizontal="center" vertical="center"/>
    </xf>
    <xf numFmtId="0" fontId="28" fillId="12" borderId="33" xfId="1" applyFont="1" applyFill="1" applyBorder="1" applyAlignment="1">
      <alignment horizontal="center" vertical="top"/>
    </xf>
    <xf numFmtId="0" fontId="10" fillId="9" borderId="53" xfId="1" applyFont="1" applyFill="1" applyBorder="1" applyAlignment="1">
      <alignment horizontal="center" vertical="top" wrapText="1"/>
    </xf>
    <xf numFmtId="0" fontId="10" fillId="3" borderId="21" xfId="2" applyFont="1" applyFill="1" applyBorder="1" applyAlignment="1" applyProtection="1">
      <alignment horizontal="center" vertical="top" wrapText="1"/>
    </xf>
    <xf numFmtId="0" fontId="10" fillId="11" borderId="53" xfId="1" applyFont="1" applyFill="1" applyBorder="1" applyAlignment="1">
      <alignment horizontal="center" vertical="top" wrapText="1"/>
    </xf>
    <xf numFmtId="0" fontId="32" fillId="3" borderId="0" xfId="1" applyFont="1" applyFill="1" applyAlignment="1">
      <alignment horizontal="left" vertical="top" wrapText="1"/>
    </xf>
    <xf numFmtId="164" fontId="4" fillId="0" borderId="0" xfId="0" applyNumberFormat="1" applyFont="1" applyBorder="1" applyProtection="1">
      <protection locked="0"/>
    </xf>
    <xf numFmtId="164" fontId="4" fillId="0" borderId="1" xfId="0" applyNumberFormat="1" applyFont="1" applyBorder="1" applyProtection="1">
      <protection locked="0"/>
    </xf>
    <xf numFmtId="164" fontId="4" fillId="0" borderId="0" xfId="0" applyNumberFormat="1" applyFont="1" applyBorder="1"/>
    <xf numFmtId="164" fontId="4" fillId="0" borderId="0" xfId="0" applyNumberFormat="1" applyFont="1"/>
    <xf numFmtId="0" fontId="33" fillId="0" borderId="0" xfId="0" applyFont="1"/>
    <xf numFmtId="164" fontId="4" fillId="0" borderId="1" xfId="0" applyNumberFormat="1" applyFont="1" applyBorder="1"/>
    <xf numFmtId="0" fontId="6" fillId="7" borderId="33" xfId="2" applyFont="1" applyFill="1" applyBorder="1" applyAlignment="1" applyProtection="1">
      <alignment horizontal="center" vertical="top" wrapText="1"/>
    </xf>
    <xf numFmtId="0" fontId="6" fillId="7" borderId="32" xfId="2" applyFont="1" applyFill="1" applyBorder="1" applyAlignment="1" applyProtection="1">
      <alignment horizontal="center" vertical="top" wrapText="1"/>
    </xf>
    <xf numFmtId="0" fontId="5" fillId="6" borderId="39" xfId="1" applyFill="1" applyBorder="1" applyAlignment="1">
      <alignment horizontal="center" vertical="center"/>
    </xf>
    <xf numFmtId="0" fontId="5" fillId="6" borderId="12" xfId="1" applyFill="1" applyBorder="1" applyAlignment="1">
      <alignment horizontal="center" vertical="center"/>
    </xf>
    <xf numFmtId="0" fontId="6" fillId="7" borderId="15" xfId="1" applyFont="1" applyFill="1" applyBorder="1" applyAlignment="1">
      <alignment horizontal="left" vertical="top" wrapText="1"/>
    </xf>
    <xf numFmtId="0" fontId="6" fillId="7" borderId="13" xfId="1" applyFont="1" applyFill="1" applyBorder="1" applyAlignment="1">
      <alignment horizontal="left" vertical="top" wrapText="1"/>
    </xf>
    <xf numFmtId="0" fontId="6" fillId="7" borderId="0" xfId="2" applyFont="1" applyFill="1" applyBorder="1" applyAlignment="1" applyProtection="1">
      <alignment horizontal="center" vertical="top" wrapText="1"/>
    </xf>
    <xf numFmtId="0" fontId="6" fillId="7" borderId="31" xfId="2" applyFont="1" applyFill="1" applyBorder="1" applyAlignment="1" applyProtection="1">
      <alignment horizontal="center" vertical="top" wrapText="1"/>
    </xf>
    <xf numFmtId="0" fontId="6" fillId="7" borderId="30" xfId="2" applyFont="1" applyFill="1" applyBorder="1" applyAlignment="1" applyProtection="1">
      <alignment horizontal="center" vertical="top" wrapText="1"/>
    </xf>
    <xf numFmtId="0" fontId="6" fillId="7" borderId="29" xfId="2" applyFont="1" applyFill="1" applyBorder="1" applyAlignment="1" applyProtection="1">
      <alignment horizontal="center" vertical="top" wrapText="1"/>
    </xf>
    <xf numFmtId="0" fontId="6" fillId="7" borderId="17" xfId="1" applyFont="1" applyFill="1" applyBorder="1" applyAlignment="1">
      <alignment horizontal="center" vertical="center"/>
    </xf>
    <xf numFmtId="0" fontId="6" fillId="7" borderId="16" xfId="1" applyFont="1" applyFill="1" applyBorder="1" applyAlignment="1">
      <alignment horizontal="center" vertical="center"/>
    </xf>
    <xf numFmtId="0" fontId="5" fillId="0" borderId="45" xfId="1" applyBorder="1" applyAlignment="1">
      <alignment horizontal="center"/>
    </xf>
    <xf numFmtId="0" fontId="5" fillId="0" borderId="38" xfId="1" applyBorder="1" applyAlignment="1">
      <alignment horizontal="center"/>
    </xf>
    <xf numFmtId="0" fontId="6" fillId="9" borderId="46" xfId="2" applyFont="1" applyFill="1" applyBorder="1" applyAlignment="1" applyProtection="1">
      <alignment horizontal="center" vertical="center" wrapText="1"/>
    </xf>
    <xf numFmtId="0" fontId="6" fillId="9" borderId="45" xfId="2" applyFont="1" applyFill="1" applyBorder="1" applyAlignment="1" applyProtection="1">
      <alignment horizontal="center" vertical="center" wrapText="1"/>
    </xf>
    <xf numFmtId="0" fontId="6" fillId="9" borderId="44" xfId="1" applyFont="1" applyFill="1" applyBorder="1" applyAlignment="1">
      <alignment horizontal="center" vertical="center"/>
    </xf>
    <xf numFmtId="0" fontId="6" fillId="9" borderId="43" xfId="1" applyFont="1" applyFill="1" applyBorder="1" applyAlignment="1">
      <alignment horizontal="center" vertical="center"/>
    </xf>
    <xf numFmtId="0" fontId="5" fillId="6" borderId="41" xfId="1" applyFill="1" applyBorder="1" applyAlignment="1">
      <alignment horizontal="center" vertical="center"/>
    </xf>
    <xf numFmtId="0" fontId="5" fillId="6" borderId="40" xfId="1" applyFill="1" applyBorder="1" applyAlignment="1">
      <alignment horizontal="center" vertical="center"/>
    </xf>
    <xf numFmtId="0" fontId="5" fillId="6" borderId="21" xfId="1" applyFill="1" applyBorder="1" applyAlignment="1">
      <alignment horizontal="center" vertical="center"/>
    </xf>
    <xf numFmtId="0" fontId="5" fillId="6" borderId="23" xfId="1" applyFill="1" applyBorder="1" applyAlignment="1">
      <alignment horizontal="center" vertical="center"/>
    </xf>
    <xf numFmtId="0" fontId="6" fillId="9" borderId="36" xfId="2" applyFont="1" applyFill="1" applyBorder="1" applyAlignment="1" applyProtection="1">
      <alignment horizontal="center" vertical="center" wrapText="1"/>
    </xf>
    <xf numFmtId="0" fontId="6" fillId="12" borderId="46" xfId="1" applyFont="1" applyFill="1" applyBorder="1" applyAlignment="1">
      <alignment horizontal="center"/>
    </xf>
    <xf numFmtId="0" fontId="6" fillId="12" borderId="20" xfId="1" applyFont="1" applyFill="1" applyBorder="1" applyAlignment="1">
      <alignment horizontal="center"/>
    </xf>
    <xf numFmtId="0" fontId="5" fillId="12" borderId="15" xfId="1" applyFill="1" applyBorder="1" applyAlignment="1">
      <alignment horizontal="left" vertical="top" wrapText="1"/>
    </xf>
    <xf numFmtId="0" fontId="5" fillId="12" borderId="13" xfId="1" applyFill="1" applyBorder="1" applyAlignment="1">
      <alignment horizontal="left" vertical="top" wrapText="1"/>
    </xf>
    <xf numFmtId="0" fontId="6" fillId="12" borderId="64" xfId="1" applyFont="1" applyFill="1" applyBorder="1" applyAlignment="1">
      <alignment horizontal="center" vertical="center"/>
    </xf>
    <xf numFmtId="0" fontId="6" fillId="12" borderId="30" xfId="1" applyFont="1" applyFill="1" applyBorder="1" applyAlignment="1">
      <alignment horizontal="center" vertical="center"/>
    </xf>
    <xf numFmtId="0" fontId="6" fillId="12" borderId="29" xfId="1" applyFont="1" applyFill="1" applyBorder="1" applyAlignment="1">
      <alignment horizontal="center" vertical="center"/>
    </xf>
    <xf numFmtId="0" fontId="29" fillId="9" borderId="44" xfId="1" applyFont="1" applyFill="1" applyBorder="1" applyAlignment="1">
      <alignment horizontal="center" vertical="center" wrapText="1"/>
    </xf>
    <xf numFmtId="0" fontId="29" fillId="9" borderId="17" xfId="1" applyFont="1" applyFill="1" applyBorder="1" applyAlignment="1">
      <alignment horizontal="center" vertical="center" wrapText="1"/>
    </xf>
    <xf numFmtId="0" fontId="6" fillId="9" borderId="16" xfId="1" applyFont="1" applyFill="1" applyBorder="1" applyAlignment="1">
      <alignment horizontal="center" vertical="center" wrapText="1"/>
    </xf>
    <xf numFmtId="0" fontId="6" fillId="11" borderId="44" xfId="2" applyFont="1" applyFill="1" applyBorder="1" applyAlignment="1" applyProtection="1">
      <alignment horizontal="center" vertical="center" wrapText="1"/>
      <protection locked="0"/>
    </xf>
    <xf numFmtId="0" fontId="6" fillId="11" borderId="16" xfId="2" applyFont="1" applyFill="1" applyBorder="1" applyAlignment="1" applyProtection="1">
      <alignment horizontal="center" vertical="center" wrapText="1"/>
      <protection locked="0"/>
    </xf>
    <xf numFmtId="0" fontId="17" fillId="10" borderId="0" xfId="1" applyFont="1" applyFill="1" applyAlignment="1">
      <alignment horizontal="center" vertical="center" textRotation="90"/>
    </xf>
    <xf numFmtId="0" fontId="0" fillId="9" borderId="46" xfId="2" applyFont="1" applyFill="1" applyBorder="1" applyAlignment="1" applyProtection="1">
      <alignment horizontal="center" vertical="center" wrapText="1"/>
    </xf>
    <xf numFmtId="0" fontId="0" fillId="9" borderId="45" xfId="2" applyFont="1" applyFill="1" applyBorder="1" applyAlignment="1" applyProtection="1">
      <alignment horizontal="center" vertical="center" wrapText="1"/>
    </xf>
    <xf numFmtId="0" fontId="10" fillId="3" borderId="33" xfId="2" applyFont="1" applyFill="1" applyBorder="1" applyAlignment="1" applyProtection="1">
      <alignment horizontal="center" vertical="center" wrapText="1"/>
    </xf>
    <xf numFmtId="0" fontId="10" fillId="3" borderId="32" xfId="2" applyFont="1" applyFill="1" applyBorder="1" applyAlignment="1" applyProtection="1">
      <alignment horizontal="center" vertical="center" wrapText="1"/>
    </xf>
    <xf numFmtId="0" fontId="10" fillId="3" borderId="21" xfId="2" applyFont="1" applyFill="1" applyBorder="1" applyAlignment="1" applyProtection="1">
      <alignment horizontal="center" vertical="center" wrapText="1"/>
    </xf>
    <xf numFmtId="0" fontId="10" fillId="3" borderId="31" xfId="2" applyFont="1" applyFill="1" applyBorder="1" applyAlignment="1" applyProtection="1">
      <alignment horizontal="center" vertical="center" wrapText="1"/>
    </xf>
    <xf numFmtId="0" fontId="14" fillId="9" borderId="15" xfId="1" applyFont="1" applyFill="1" applyBorder="1" applyAlignment="1">
      <alignment horizontal="left" vertical="top" wrapText="1"/>
    </xf>
    <xf numFmtId="0" fontId="14" fillId="9" borderId="13" xfId="1" applyFont="1" applyFill="1" applyBorder="1" applyAlignment="1">
      <alignment horizontal="left" vertical="top" wrapText="1"/>
    </xf>
    <xf numFmtId="0" fontId="6" fillId="11" borderId="17" xfId="1" applyFont="1" applyFill="1" applyBorder="1" applyAlignment="1">
      <alignment horizontal="center" vertical="center"/>
    </xf>
    <xf numFmtId="0" fontId="6" fillId="11" borderId="16" xfId="1" applyFont="1" applyFill="1" applyBorder="1" applyAlignment="1">
      <alignment horizontal="center" vertical="center"/>
    </xf>
    <xf numFmtId="0" fontId="10" fillId="3" borderId="0" xfId="1" quotePrefix="1" applyFont="1" applyFill="1" applyAlignment="1">
      <alignment horizontal="left" vertical="center" wrapText="1"/>
    </xf>
    <xf numFmtId="0" fontId="23" fillId="3" borderId="0" xfId="1" quotePrefix="1" applyFont="1" applyFill="1" applyAlignment="1">
      <alignment horizontal="left" vertical="center" wrapText="1"/>
    </xf>
    <xf numFmtId="0" fontId="22" fillId="3" borderId="0" xfId="1" quotePrefix="1" applyFont="1" applyFill="1" applyAlignment="1">
      <alignment horizontal="left" vertical="center" wrapText="1"/>
    </xf>
    <xf numFmtId="0" fontId="0" fillId="11" borderId="15" xfId="2" applyFont="1" applyFill="1" applyBorder="1" applyAlignment="1" applyProtection="1">
      <alignment horizontal="left" vertical="top" wrapText="1"/>
    </xf>
    <xf numFmtId="0" fontId="18" fillId="3" borderId="0" xfId="1" quotePrefix="1" applyFont="1" applyFill="1" applyAlignment="1">
      <alignment horizontal="left" vertical="top" wrapText="1"/>
    </xf>
  </cellXfs>
  <cellStyles count="3">
    <cellStyle name="20% - Accent2 2" xfId="2" xr:uid="{D7ADDD76-6C97-4A67-9D60-E457D27F2867}"/>
    <cellStyle name="Normal" xfId="0" builtinId="0"/>
    <cellStyle name="Normal 2" xfId="1" xr:uid="{A8EF790E-AAE2-49D7-854E-D345986A8027}"/>
  </cellStyles>
  <dxfs count="4">
    <dxf>
      <font>
        <b/>
        <i val="0"/>
        <strike val="0"/>
      </font>
      <fill>
        <patternFill>
          <bgColor rgb="FFFFFF00"/>
        </patternFill>
      </fill>
      <border>
        <vertical/>
        <horizontal/>
      </border>
    </dxf>
    <dxf>
      <font>
        <b/>
        <i val="0"/>
        <strike val="0"/>
      </font>
      <fill>
        <patternFill>
          <bgColor rgb="FFFFFF00"/>
        </patternFill>
      </fill>
      <border>
        <vertical/>
        <horizontal/>
      </border>
    </dxf>
    <dxf>
      <font>
        <b/>
        <i val="0"/>
        <strike val="0"/>
      </font>
      <fill>
        <patternFill>
          <bgColor rgb="FFFFFF00"/>
        </patternFill>
      </fill>
      <border>
        <vertical/>
        <horizontal/>
      </border>
    </dxf>
    <dxf>
      <font>
        <b/>
        <i val="0"/>
        <strike val="0"/>
      </font>
      <fill>
        <patternFill>
          <bgColor rgb="FFFFFF00"/>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5D2A-5121-4408-9185-ADF242B6F92B}">
  <dimension ref="A1:N47"/>
  <sheetViews>
    <sheetView workbookViewId="0">
      <selection activeCell="C7" sqref="C7"/>
    </sheetView>
  </sheetViews>
  <sheetFormatPr defaultRowHeight="15"/>
  <cols>
    <col min="1" max="1" width="5.7109375" customWidth="1"/>
    <col min="2" max="2" width="22" customWidth="1"/>
    <col min="3" max="3" width="11.140625" customWidth="1"/>
    <col min="4" max="4" width="7.28515625" customWidth="1"/>
    <col min="5" max="5" width="6.5703125" customWidth="1"/>
    <col min="6" max="6" width="10.42578125" customWidth="1"/>
    <col min="7" max="7" width="5.85546875" customWidth="1"/>
    <col min="8" max="8" width="13.85546875" customWidth="1"/>
    <col min="9" max="9" width="12.5703125" customWidth="1"/>
    <col min="10" max="10" width="7.28515625" customWidth="1"/>
    <col min="11" max="11" width="4.140625" customWidth="1"/>
  </cols>
  <sheetData>
    <row r="1" spans="1:14">
      <c r="A1" s="2" t="s">
        <v>0</v>
      </c>
      <c r="G1" s="2" t="s">
        <v>1</v>
      </c>
    </row>
    <row r="2" spans="1:14">
      <c r="A2" s="1" t="s">
        <v>2</v>
      </c>
      <c r="G2" s="1" t="s">
        <v>3</v>
      </c>
    </row>
    <row r="3" spans="1:14">
      <c r="B3" s="2" t="s">
        <v>4</v>
      </c>
      <c r="C3" s="2" t="s">
        <v>5</v>
      </c>
      <c r="D3" s="2" t="s">
        <v>6</v>
      </c>
      <c r="E3" s="5" t="s">
        <v>7</v>
      </c>
      <c r="F3" s="2"/>
      <c r="H3" s="2" t="s">
        <v>4</v>
      </c>
      <c r="I3" s="2" t="s">
        <v>5</v>
      </c>
      <c r="J3" s="2" t="s">
        <v>6</v>
      </c>
      <c r="K3" s="2" t="s">
        <v>7</v>
      </c>
      <c r="N3" s="2"/>
    </row>
    <row r="4" spans="1:14">
      <c r="A4" s="2" t="s">
        <v>8</v>
      </c>
      <c r="B4" t="s">
        <v>9</v>
      </c>
      <c r="C4" t="s">
        <v>10</v>
      </c>
      <c r="E4" s="4">
        <v>1</v>
      </c>
      <c r="G4" s="2" t="s">
        <v>11</v>
      </c>
      <c r="H4" t="s">
        <v>12</v>
      </c>
      <c r="I4" t="s">
        <v>10</v>
      </c>
      <c r="K4">
        <v>1</v>
      </c>
    </row>
    <row r="5" spans="1:14">
      <c r="A5" s="2" t="s">
        <v>13</v>
      </c>
      <c r="B5" t="s">
        <v>60</v>
      </c>
      <c r="C5" t="s">
        <v>10</v>
      </c>
      <c r="E5" s="4">
        <v>1</v>
      </c>
      <c r="G5" s="2" t="s">
        <v>14</v>
      </c>
      <c r="H5" t="s">
        <v>12</v>
      </c>
      <c r="I5" t="s">
        <v>10</v>
      </c>
      <c r="K5">
        <v>1</v>
      </c>
    </row>
    <row r="6" spans="1:14">
      <c r="A6" s="2" t="s">
        <v>15</v>
      </c>
      <c r="B6" t="s">
        <v>16</v>
      </c>
      <c r="C6" t="s">
        <v>17</v>
      </c>
      <c r="D6" s="4" t="s">
        <v>18</v>
      </c>
      <c r="E6" s="4">
        <v>1</v>
      </c>
      <c r="F6" s="4"/>
      <c r="G6" s="2" t="s">
        <v>19</v>
      </c>
      <c r="H6" t="s">
        <v>12</v>
      </c>
      <c r="I6" t="s">
        <v>17</v>
      </c>
      <c r="J6" s="4" t="s">
        <v>18</v>
      </c>
      <c r="K6">
        <v>1</v>
      </c>
    </row>
    <row r="7" spans="1:14">
      <c r="A7" s="2" t="s">
        <v>20</v>
      </c>
      <c r="B7" t="s">
        <v>16</v>
      </c>
      <c r="C7" t="s">
        <v>17</v>
      </c>
      <c r="D7" s="4" t="s">
        <v>18</v>
      </c>
      <c r="E7" s="4">
        <v>1</v>
      </c>
      <c r="F7" s="4"/>
      <c r="G7" s="2" t="s">
        <v>21</v>
      </c>
      <c r="H7" t="s">
        <v>12</v>
      </c>
      <c r="I7" t="s">
        <v>17</v>
      </c>
      <c r="J7" s="4" t="s">
        <v>18</v>
      </c>
      <c r="K7">
        <v>1</v>
      </c>
    </row>
    <row r="8" spans="1:14">
      <c r="A8" s="2" t="s">
        <v>22</v>
      </c>
      <c r="B8" t="s">
        <v>16</v>
      </c>
      <c r="C8" t="s">
        <v>17</v>
      </c>
      <c r="D8" s="4" t="s">
        <v>18</v>
      </c>
      <c r="E8" s="4">
        <v>1</v>
      </c>
      <c r="F8" s="4"/>
      <c r="G8" s="2" t="s">
        <v>23</v>
      </c>
      <c r="H8" t="s">
        <v>12</v>
      </c>
      <c r="I8" t="s">
        <v>17</v>
      </c>
      <c r="J8" s="4" t="s">
        <v>18</v>
      </c>
      <c r="K8">
        <v>1</v>
      </c>
    </row>
    <row r="9" spans="1:14">
      <c r="A9" s="2" t="s">
        <v>24</v>
      </c>
      <c r="B9" t="s">
        <v>12</v>
      </c>
      <c r="C9" t="s">
        <v>25</v>
      </c>
      <c r="D9" s="4" t="s">
        <v>18</v>
      </c>
      <c r="E9" s="4">
        <v>1</v>
      </c>
      <c r="G9" s="2" t="s">
        <v>26</v>
      </c>
      <c r="H9" t="s">
        <v>12</v>
      </c>
      <c r="I9" t="s">
        <v>25</v>
      </c>
      <c r="J9" s="4" t="s">
        <v>18</v>
      </c>
      <c r="K9">
        <v>1</v>
      </c>
    </row>
    <row r="10" spans="1:14">
      <c r="A10" s="2" t="s">
        <v>27</v>
      </c>
      <c r="B10" t="s">
        <v>16</v>
      </c>
      <c r="C10" t="s">
        <v>25</v>
      </c>
      <c r="D10" s="4" t="s">
        <v>18</v>
      </c>
      <c r="E10" s="4">
        <v>1</v>
      </c>
      <c r="G10" s="2" t="s">
        <v>28</v>
      </c>
      <c r="H10" t="s">
        <v>12</v>
      </c>
      <c r="I10" t="s">
        <v>25</v>
      </c>
      <c r="J10" s="4" t="s">
        <v>18</v>
      </c>
      <c r="K10">
        <v>1</v>
      </c>
    </row>
    <row r="11" spans="1:14">
      <c r="A11" s="2" t="s">
        <v>29</v>
      </c>
      <c r="B11" t="s">
        <v>12</v>
      </c>
      <c r="C11" t="s">
        <v>25</v>
      </c>
      <c r="D11" s="4" t="s">
        <v>18</v>
      </c>
      <c r="E11" s="4">
        <v>1</v>
      </c>
      <c r="G11" s="2" t="s">
        <v>30</v>
      </c>
      <c r="H11" t="s">
        <v>12</v>
      </c>
      <c r="I11" t="s">
        <v>25</v>
      </c>
      <c r="J11" s="4"/>
      <c r="K11">
        <v>1</v>
      </c>
    </row>
    <row r="12" spans="1:14">
      <c r="A12" s="2" t="s">
        <v>31</v>
      </c>
      <c r="B12" t="s">
        <v>12</v>
      </c>
      <c r="C12" t="s">
        <v>25</v>
      </c>
      <c r="D12" s="4" t="s">
        <v>18</v>
      </c>
      <c r="E12" s="4">
        <v>1</v>
      </c>
      <c r="G12" s="2" t="s">
        <v>32</v>
      </c>
      <c r="H12" t="s">
        <v>12</v>
      </c>
      <c r="I12" t="s">
        <v>25</v>
      </c>
      <c r="J12" s="4" t="s">
        <v>18</v>
      </c>
      <c r="K12">
        <v>1</v>
      </c>
    </row>
    <row r="13" spans="1:14">
      <c r="A13" s="2" t="s">
        <v>33</v>
      </c>
      <c r="B13" t="s">
        <v>16</v>
      </c>
      <c r="C13" t="s">
        <v>34</v>
      </c>
      <c r="D13" s="4" t="s">
        <v>18</v>
      </c>
      <c r="E13" s="4">
        <v>1</v>
      </c>
      <c r="G13" s="2" t="s">
        <v>35</v>
      </c>
      <c r="H13" t="s">
        <v>12</v>
      </c>
      <c r="I13" t="s">
        <v>34</v>
      </c>
      <c r="J13" s="4" t="s">
        <v>18</v>
      </c>
      <c r="K13">
        <v>1</v>
      </c>
    </row>
    <row r="14" spans="1:14">
      <c r="A14" s="2" t="s">
        <v>36</v>
      </c>
      <c r="B14" t="s">
        <v>16</v>
      </c>
      <c r="C14" t="s">
        <v>34</v>
      </c>
      <c r="D14" s="4" t="s">
        <v>18</v>
      </c>
      <c r="E14" s="4">
        <v>1</v>
      </c>
      <c r="G14" s="2" t="s">
        <v>37</v>
      </c>
      <c r="H14" t="s">
        <v>12</v>
      </c>
      <c r="I14" t="s">
        <v>34</v>
      </c>
      <c r="J14" s="4" t="s">
        <v>18</v>
      </c>
      <c r="K14">
        <v>1</v>
      </c>
    </row>
    <row r="15" spans="1:14">
      <c r="A15" s="2" t="s">
        <v>38</v>
      </c>
      <c r="B15" t="s">
        <v>12</v>
      </c>
      <c r="C15" t="s">
        <v>34</v>
      </c>
      <c r="D15" s="4" t="s">
        <v>18</v>
      </c>
      <c r="E15" s="4">
        <v>1</v>
      </c>
      <c r="G15" s="2" t="s">
        <v>39</v>
      </c>
      <c r="H15" t="s">
        <v>12</v>
      </c>
      <c r="I15" t="s">
        <v>34</v>
      </c>
      <c r="J15" s="4" t="s">
        <v>18</v>
      </c>
      <c r="K15">
        <v>1</v>
      </c>
    </row>
    <row r="16" spans="1:14">
      <c r="A16" s="2" t="s">
        <v>40</v>
      </c>
      <c r="B16" t="s">
        <v>16</v>
      </c>
      <c r="C16" t="s">
        <v>34</v>
      </c>
      <c r="D16" s="4" t="s">
        <v>18</v>
      </c>
      <c r="E16" s="4">
        <v>1</v>
      </c>
      <c r="G16" s="2" t="s">
        <v>41</v>
      </c>
      <c r="H16" t="s">
        <v>12</v>
      </c>
      <c r="I16" t="s">
        <v>34</v>
      </c>
      <c r="K16">
        <v>1</v>
      </c>
    </row>
    <row r="17" spans="1:11">
      <c r="A17" s="2" t="s">
        <v>42</v>
      </c>
      <c r="B17" t="s">
        <v>16</v>
      </c>
      <c r="C17" t="s">
        <v>34</v>
      </c>
      <c r="D17" s="4" t="s">
        <v>18</v>
      </c>
      <c r="E17" s="4">
        <v>1</v>
      </c>
      <c r="G17" s="2" t="s">
        <v>43</v>
      </c>
      <c r="H17" t="s">
        <v>12</v>
      </c>
      <c r="I17" t="s">
        <v>44</v>
      </c>
      <c r="K17">
        <v>2</v>
      </c>
    </row>
    <row r="18" spans="1:11">
      <c r="A18" s="2" t="s">
        <v>45</v>
      </c>
      <c r="B18" t="s">
        <v>122</v>
      </c>
      <c r="C18" t="s">
        <v>34</v>
      </c>
      <c r="E18" s="4">
        <v>1</v>
      </c>
      <c r="G18" s="2" t="s">
        <v>46</v>
      </c>
      <c r="H18" t="s">
        <v>12</v>
      </c>
      <c r="I18" t="s">
        <v>44</v>
      </c>
      <c r="K18">
        <v>2</v>
      </c>
    </row>
    <row r="19" spans="1:11">
      <c r="A19" s="2" t="s">
        <v>47</v>
      </c>
      <c r="B19" t="s">
        <v>16</v>
      </c>
      <c r="C19" t="s">
        <v>34</v>
      </c>
      <c r="E19" s="4">
        <v>1</v>
      </c>
      <c r="G19" s="2" t="s">
        <v>48</v>
      </c>
      <c r="H19" t="s">
        <v>12</v>
      </c>
      <c r="I19" t="s">
        <v>44</v>
      </c>
      <c r="K19">
        <v>2</v>
      </c>
    </row>
    <row r="20" spans="1:11">
      <c r="A20" s="2" t="s">
        <v>49</v>
      </c>
      <c r="B20" t="s">
        <v>16</v>
      </c>
      <c r="C20" t="s">
        <v>34</v>
      </c>
      <c r="E20" s="4">
        <v>1</v>
      </c>
      <c r="G20" s="2" t="s">
        <v>50</v>
      </c>
      <c r="H20" t="s">
        <v>12</v>
      </c>
      <c r="I20" t="s">
        <v>25</v>
      </c>
      <c r="J20" s="4" t="s">
        <v>18</v>
      </c>
      <c r="K20">
        <v>4</v>
      </c>
    </row>
    <row r="21" spans="1:11">
      <c r="A21" s="2" t="s">
        <v>51</v>
      </c>
      <c r="B21" t="s">
        <v>12</v>
      </c>
      <c r="C21" t="s">
        <v>34</v>
      </c>
      <c r="D21" s="4" t="s">
        <v>18</v>
      </c>
      <c r="E21" s="4">
        <v>1</v>
      </c>
      <c r="G21" s="2" t="s">
        <v>52</v>
      </c>
      <c r="H21" t="s">
        <v>12</v>
      </c>
      <c r="I21" t="s">
        <v>53</v>
      </c>
      <c r="J21" s="4" t="s">
        <v>18</v>
      </c>
      <c r="K21">
        <v>4</v>
      </c>
    </row>
    <row r="22" spans="1:11">
      <c r="A22" s="2" t="s">
        <v>54</v>
      </c>
      <c r="B22" t="s">
        <v>16</v>
      </c>
      <c r="C22" t="s">
        <v>10</v>
      </c>
      <c r="D22" s="4"/>
      <c r="E22" s="4">
        <v>3</v>
      </c>
      <c r="G22" s="2" t="s">
        <v>55</v>
      </c>
      <c r="H22" t="s">
        <v>12</v>
      </c>
      <c r="I22" t="s">
        <v>25</v>
      </c>
      <c r="J22" s="4" t="s">
        <v>18</v>
      </c>
      <c r="K22">
        <v>4</v>
      </c>
    </row>
    <row r="23" spans="1:11">
      <c r="A23" s="2" t="s">
        <v>56</v>
      </c>
      <c r="B23" t="s">
        <v>12</v>
      </c>
      <c r="C23" t="s">
        <v>10</v>
      </c>
      <c r="D23" s="4"/>
      <c r="E23" s="4">
        <v>3</v>
      </c>
      <c r="G23" s="2" t="s">
        <v>57</v>
      </c>
      <c r="H23" t="s">
        <v>12</v>
      </c>
      <c r="I23" t="s">
        <v>58</v>
      </c>
      <c r="J23" s="4" t="s">
        <v>18</v>
      </c>
      <c r="K23">
        <v>4</v>
      </c>
    </row>
    <row r="24" spans="1:11">
      <c r="A24" s="2" t="s">
        <v>59</v>
      </c>
      <c r="B24" t="s">
        <v>60</v>
      </c>
      <c r="C24" t="s">
        <v>25</v>
      </c>
      <c r="D24" s="4" t="s">
        <v>18</v>
      </c>
      <c r="E24" s="4">
        <v>4</v>
      </c>
      <c r="G24" s="2" t="s">
        <v>61</v>
      </c>
      <c r="H24" t="s">
        <v>12</v>
      </c>
      <c r="I24" t="s">
        <v>25</v>
      </c>
      <c r="J24" s="4" t="s">
        <v>18</v>
      </c>
      <c r="K24">
        <v>4</v>
      </c>
    </row>
    <row r="25" spans="1:11">
      <c r="A25" s="2" t="s">
        <v>62</v>
      </c>
      <c r="B25" t="s">
        <v>63</v>
      </c>
      <c r="C25" t="s">
        <v>25</v>
      </c>
      <c r="D25" s="4" t="s">
        <v>18</v>
      </c>
      <c r="E25" s="4">
        <v>4</v>
      </c>
      <c r="G25" s="2"/>
      <c r="J25" s="4"/>
    </row>
    <row r="26" spans="1:11">
      <c r="A26" s="2" t="s">
        <v>64</v>
      </c>
      <c r="B26" t="s">
        <v>63</v>
      </c>
      <c r="C26" t="s">
        <v>25</v>
      </c>
      <c r="D26" s="4" t="s">
        <v>18</v>
      </c>
      <c r="E26" s="4">
        <v>4</v>
      </c>
      <c r="G26" s="2" t="s">
        <v>65</v>
      </c>
      <c r="H26" t="s">
        <v>12</v>
      </c>
      <c r="I26" t="s">
        <v>25</v>
      </c>
      <c r="J26" s="4" t="s">
        <v>18</v>
      </c>
      <c r="K26">
        <v>4</v>
      </c>
    </row>
    <row r="27" spans="1:11">
      <c r="A27" s="2" t="s">
        <v>66</v>
      </c>
      <c r="B27" t="s">
        <v>63</v>
      </c>
      <c r="C27" t="s">
        <v>25</v>
      </c>
      <c r="D27" s="4" t="s">
        <v>18</v>
      </c>
      <c r="E27" s="4">
        <v>4</v>
      </c>
      <c r="G27" s="2" t="s">
        <v>67</v>
      </c>
      <c r="H27" t="s">
        <v>12</v>
      </c>
      <c r="I27" t="s">
        <v>25</v>
      </c>
      <c r="J27" s="4" t="s">
        <v>18</v>
      </c>
      <c r="K27">
        <v>4</v>
      </c>
    </row>
    <row r="28" spans="1:11">
      <c r="A28" s="2" t="s">
        <v>68</v>
      </c>
      <c r="B28" t="s">
        <v>69</v>
      </c>
      <c r="C28" t="s">
        <v>34</v>
      </c>
      <c r="D28" s="4" t="s">
        <v>18</v>
      </c>
      <c r="E28" s="4">
        <v>4</v>
      </c>
      <c r="G28" s="2" t="s">
        <v>70</v>
      </c>
      <c r="H28" t="s">
        <v>12</v>
      </c>
      <c r="I28" t="s">
        <v>58</v>
      </c>
      <c r="J28" s="4" t="s">
        <v>18</v>
      </c>
      <c r="K28">
        <v>4</v>
      </c>
    </row>
    <row r="29" spans="1:11">
      <c r="A29" s="2" t="s">
        <v>71</v>
      </c>
      <c r="B29" t="s">
        <v>69</v>
      </c>
      <c r="C29" t="s">
        <v>25</v>
      </c>
      <c r="D29" s="4" t="s">
        <v>18</v>
      </c>
      <c r="E29" s="4">
        <v>4</v>
      </c>
      <c r="G29" s="2" t="s">
        <v>72</v>
      </c>
      <c r="H29" t="s">
        <v>12</v>
      </c>
      <c r="I29" t="s">
        <v>73</v>
      </c>
      <c r="J29" s="4" t="s">
        <v>18</v>
      </c>
      <c r="K29">
        <v>4</v>
      </c>
    </row>
    <row r="30" spans="1:11">
      <c r="A30" s="2" t="s">
        <v>74</v>
      </c>
      <c r="B30" s="20" t="s">
        <v>69</v>
      </c>
      <c r="C30" t="s">
        <v>25</v>
      </c>
      <c r="D30" s="4" t="s">
        <v>18</v>
      </c>
      <c r="E30" s="4">
        <v>4</v>
      </c>
      <c r="G30" s="2" t="s">
        <v>75</v>
      </c>
      <c r="H30" t="s">
        <v>12</v>
      </c>
      <c r="I30" t="s">
        <v>25</v>
      </c>
      <c r="J30" s="4" t="s">
        <v>18</v>
      </c>
      <c r="K30">
        <v>4</v>
      </c>
    </row>
    <row r="31" spans="1:11">
      <c r="A31" s="2" t="s">
        <v>76</v>
      </c>
      <c r="B31" s="20" t="s">
        <v>60</v>
      </c>
      <c r="C31" t="s">
        <v>25</v>
      </c>
      <c r="D31" s="4" t="s">
        <v>18</v>
      </c>
      <c r="E31" s="4">
        <v>4</v>
      </c>
      <c r="F31" t="s">
        <v>87</v>
      </c>
      <c r="G31" s="2" t="s">
        <v>77</v>
      </c>
      <c r="H31" t="s">
        <v>12</v>
      </c>
      <c r="I31" t="s">
        <v>25</v>
      </c>
      <c r="J31" s="4" t="s">
        <v>18</v>
      </c>
      <c r="K31">
        <v>4</v>
      </c>
    </row>
    <row r="32" spans="1:11">
      <c r="A32" s="2" t="s">
        <v>90</v>
      </c>
      <c r="B32" t="s">
        <v>120</v>
      </c>
      <c r="C32" t="s">
        <v>121</v>
      </c>
      <c r="D32" s="4" t="s">
        <v>18</v>
      </c>
      <c r="E32" s="4">
        <v>1</v>
      </c>
      <c r="G32" s="2" t="s">
        <v>78</v>
      </c>
      <c r="H32" t="s">
        <v>12</v>
      </c>
      <c r="I32" t="s">
        <v>25</v>
      </c>
      <c r="J32" s="4" t="s">
        <v>18</v>
      </c>
      <c r="K32">
        <v>4</v>
      </c>
    </row>
    <row r="33" spans="1:11">
      <c r="A33" s="2" t="s">
        <v>91</v>
      </c>
      <c r="B33" t="s">
        <v>16</v>
      </c>
      <c r="C33" t="s">
        <v>34</v>
      </c>
      <c r="D33" s="4" t="s">
        <v>18</v>
      </c>
      <c r="E33" s="4">
        <v>1</v>
      </c>
      <c r="G33" s="2" t="s">
        <v>79</v>
      </c>
      <c r="H33" t="s">
        <v>12</v>
      </c>
      <c r="I33" t="s">
        <v>58</v>
      </c>
      <c r="J33" s="4" t="s">
        <v>18</v>
      </c>
      <c r="K33">
        <v>4</v>
      </c>
    </row>
    <row r="34" spans="1:11">
      <c r="A34" s="2" t="s">
        <v>101</v>
      </c>
      <c r="B34" t="s">
        <v>120</v>
      </c>
      <c r="C34" t="s">
        <v>120</v>
      </c>
      <c r="D34" s="4" t="s">
        <v>18</v>
      </c>
      <c r="E34" s="4">
        <v>5</v>
      </c>
      <c r="G34" s="2" t="s">
        <v>92</v>
      </c>
      <c r="H34" t="s">
        <v>12</v>
      </c>
      <c r="I34" t="s">
        <v>34</v>
      </c>
      <c r="K34">
        <v>1</v>
      </c>
    </row>
    <row r="35" spans="1:11">
      <c r="A35" s="2" t="s">
        <v>102</v>
      </c>
      <c r="B35" t="s">
        <v>120</v>
      </c>
      <c r="C35" t="s">
        <v>120</v>
      </c>
      <c r="D35" s="4" t="s">
        <v>18</v>
      </c>
      <c r="E35" s="4">
        <v>5</v>
      </c>
      <c r="G35" s="2" t="s">
        <v>93</v>
      </c>
      <c r="H35" t="s">
        <v>12</v>
      </c>
      <c r="I35" t="s">
        <v>34</v>
      </c>
      <c r="K35">
        <v>1</v>
      </c>
    </row>
    <row r="36" spans="1:11">
      <c r="A36" s="2" t="s">
        <v>103</v>
      </c>
      <c r="B36" t="s">
        <v>120</v>
      </c>
      <c r="C36" t="s">
        <v>120</v>
      </c>
      <c r="D36" s="4" t="s">
        <v>18</v>
      </c>
      <c r="E36" s="4">
        <v>5</v>
      </c>
      <c r="G36" s="2" t="s">
        <v>94</v>
      </c>
      <c r="H36" t="s">
        <v>12</v>
      </c>
      <c r="I36" t="s">
        <v>120</v>
      </c>
      <c r="K36">
        <v>5</v>
      </c>
    </row>
    <row r="37" spans="1:11">
      <c r="A37" s="2" t="s">
        <v>104</v>
      </c>
      <c r="B37" t="s">
        <v>16</v>
      </c>
      <c r="C37" t="s">
        <v>120</v>
      </c>
      <c r="E37" s="4">
        <v>6</v>
      </c>
      <c r="G37" s="2" t="s">
        <v>95</v>
      </c>
      <c r="H37" t="s">
        <v>12</v>
      </c>
      <c r="I37" t="s">
        <v>120</v>
      </c>
      <c r="K37">
        <v>5</v>
      </c>
    </row>
    <row r="38" spans="1:11">
      <c r="A38" s="2" t="s">
        <v>108</v>
      </c>
      <c r="B38" t="s">
        <v>16</v>
      </c>
      <c r="C38" t="s">
        <v>120</v>
      </c>
      <c r="E38" s="4">
        <v>6</v>
      </c>
      <c r="G38" s="2" t="s">
        <v>96</v>
      </c>
      <c r="H38" t="s">
        <v>12</v>
      </c>
      <c r="I38" t="s">
        <v>120</v>
      </c>
      <c r="J38" s="4" t="s">
        <v>18</v>
      </c>
      <c r="K38">
        <v>5</v>
      </c>
    </row>
    <row r="39" spans="1:11">
      <c r="A39" s="2" t="s">
        <v>109</v>
      </c>
      <c r="B39" t="s">
        <v>16</v>
      </c>
      <c r="C39" t="s">
        <v>120</v>
      </c>
      <c r="E39" s="4">
        <v>6</v>
      </c>
      <c r="G39" s="2" t="s">
        <v>97</v>
      </c>
      <c r="H39" t="s">
        <v>12</v>
      </c>
      <c r="I39" t="s">
        <v>120</v>
      </c>
      <c r="J39" s="4" t="s">
        <v>18</v>
      </c>
      <c r="K39">
        <v>5</v>
      </c>
    </row>
    <row r="40" spans="1:11">
      <c r="A40" s="2" t="s">
        <v>110</v>
      </c>
      <c r="B40" t="s">
        <v>16</v>
      </c>
      <c r="C40" t="s">
        <v>120</v>
      </c>
      <c r="E40" s="4">
        <v>6</v>
      </c>
      <c r="G40" s="2" t="s">
        <v>98</v>
      </c>
      <c r="H40" t="s">
        <v>12</v>
      </c>
      <c r="I40" t="s">
        <v>120</v>
      </c>
      <c r="J40" s="4" t="s">
        <v>18</v>
      </c>
      <c r="K40">
        <v>5</v>
      </c>
    </row>
    <row r="41" spans="1:11">
      <c r="A41" s="2" t="s">
        <v>111</v>
      </c>
      <c r="B41" t="s">
        <v>16</v>
      </c>
      <c r="C41" t="s">
        <v>120</v>
      </c>
      <c r="E41" s="4">
        <v>6</v>
      </c>
      <c r="G41" s="2" t="s">
        <v>99</v>
      </c>
      <c r="H41" t="s">
        <v>12</v>
      </c>
      <c r="I41" t="s">
        <v>120</v>
      </c>
      <c r="K41">
        <v>5</v>
      </c>
    </row>
    <row r="42" spans="1:11">
      <c r="A42" s="2" t="s">
        <v>112</v>
      </c>
      <c r="B42" t="s">
        <v>16</v>
      </c>
      <c r="C42" t="s">
        <v>120</v>
      </c>
      <c r="E42" s="4">
        <v>6</v>
      </c>
      <c r="G42" s="2" t="s">
        <v>100</v>
      </c>
      <c r="H42" t="s">
        <v>12</v>
      </c>
      <c r="I42" t="s">
        <v>120</v>
      </c>
      <c r="K42">
        <v>5</v>
      </c>
    </row>
    <row r="43" spans="1:11">
      <c r="A43" s="2" t="s">
        <v>113</v>
      </c>
      <c r="B43" t="s">
        <v>16</v>
      </c>
      <c r="C43" t="s">
        <v>120</v>
      </c>
      <c r="E43" s="4">
        <v>6</v>
      </c>
      <c r="G43" s="2" t="s">
        <v>105</v>
      </c>
      <c r="H43" t="s">
        <v>12</v>
      </c>
      <c r="I43" t="s">
        <v>120</v>
      </c>
      <c r="K43">
        <v>6</v>
      </c>
    </row>
    <row r="44" spans="1:11">
      <c r="A44" s="2"/>
      <c r="G44" s="2" t="s">
        <v>106</v>
      </c>
      <c r="H44" t="s">
        <v>12</v>
      </c>
      <c r="I44" t="s">
        <v>120</v>
      </c>
      <c r="K44">
        <v>6</v>
      </c>
    </row>
    <row r="45" spans="1:11">
      <c r="G45" s="2" t="s">
        <v>107</v>
      </c>
      <c r="H45" t="s">
        <v>12</v>
      </c>
      <c r="I45" t="s">
        <v>120</v>
      </c>
      <c r="K45">
        <v>6</v>
      </c>
    </row>
    <row r="46" spans="1:11">
      <c r="A46" s="2"/>
      <c r="G46" s="2"/>
    </row>
    <row r="47" spans="1:11">
      <c r="A47" s="2"/>
    </row>
  </sheetData>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54E71-C4B2-4339-904C-ECF8EC2EEC5D}">
  <dimension ref="A1:Q96"/>
  <sheetViews>
    <sheetView tabSelected="1" zoomScaleNormal="100" workbookViewId="0">
      <pane ySplit="1" topLeftCell="A2" activePane="bottomLeft" state="frozen"/>
      <selection pane="bottomLeft" activeCell="B2" sqref="B2"/>
    </sheetView>
  </sheetViews>
  <sheetFormatPr defaultRowHeight="15"/>
  <sheetData>
    <row r="1" spans="1:15">
      <c r="A1" t="s">
        <v>118</v>
      </c>
      <c r="B1" s="2">
        <v>1</v>
      </c>
      <c r="C1" s="2">
        <v>2</v>
      </c>
      <c r="D1" s="2">
        <v>3</v>
      </c>
      <c r="E1" s="2">
        <v>4</v>
      </c>
      <c r="F1" s="2">
        <v>5</v>
      </c>
      <c r="G1" s="2">
        <v>6</v>
      </c>
      <c r="H1" s="2">
        <v>7</v>
      </c>
      <c r="I1" s="12">
        <v>8</v>
      </c>
      <c r="J1" s="11" t="s">
        <v>80</v>
      </c>
      <c r="K1" s="3" t="s">
        <v>81</v>
      </c>
      <c r="L1" s="3" t="s">
        <v>82</v>
      </c>
      <c r="M1" s="3" t="s">
        <v>83</v>
      </c>
      <c r="N1" s="3" t="s">
        <v>84</v>
      </c>
      <c r="O1" s="3" t="s">
        <v>85</v>
      </c>
    </row>
    <row r="2" spans="1:15">
      <c r="A2" s="2" t="s">
        <v>8</v>
      </c>
      <c r="B2" s="6">
        <v>2.1960000000000002</v>
      </c>
      <c r="C2" s="6">
        <v>2.2080000000000002</v>
      </c>
      <c r="D2" s="6">
        <v>2.1930000000000001</v>
      </c>
      <c r="E2" s="6">
        <v>2.169</v>
      </c>
      <c r="F2" s="6">
        <v>2.1859999999999999</v>
      </c>
      <c r="G2" s="6">
        <v>2.214</v>
      </c>
      <c r="H2" s="6">
        <v>2.2149999999999999</v>
      </c>
      <c r="I2" s="9">
        <v>2.1890000000000001</v>
      </c>
      <c r="J2" s="7">
        <f>AVERAGE(B2:I2)</f>
        <v>2.19625</v>
      </c>
      <c r="K2" s="6">
        <f t="shared" ref="K2:K12" si="0">_xlfn.STDEV.P(B2:I2)</f>
        <v>1.4643684645607452E-2</v>
      </c>
      <c r="L2" s="6">
        <f>K2/J2*100</f>
        <v>0.66675854960079461</v>
      </c>
      <c r="M2" s="6">
        <f>100/J2</f>
        <v>45.532157085941947</v>
      </c>
      <c r="N2" s="6">
        <f>J2*25</f>
        <v>54.90625</v>
      </c>
      <c r="O2">
        <v>1</v>
      </c>
    </row>
    <row r="3" spans="1:15">
      <c r="A3" s="2" t="s">
        <v>13</v>
      </c>
      <c r="B3" s="6">
        <v>1.5960000000000001</v>
      </c>
      <c r="C3" s="6">
        <v>1.5860000000000001</v>
      </c>
      <c r="D3" s="6">
        <v>1.542</v>
      </c>
      <c r="E3" s="6">
        <v>1.569</v>
      </c>
      <c r="F3" s="6">
        <v>1.615</v>
      </c>
      <c r="G3" s="6">
        <v>1.5649999999999999</v>
      </c>
      <c r="H3" s="6">
        <v>1.5960000000000001</v>
      </c>
      <c r="I3" s="9">
        <v>1.585</v>
      </c>
      <c r="J3" s="7">
        <f>AVERAGE(B3:I3)</f>
        <v>1.58175</v>
      </c>
      <c r="K3" s="6">
        <f t="shared" si="0"/>
        <v>2.1105390306743927E-2</v>
      </c>
      <c r="L3" s="6">
        <f>K3/J3*100</f>
        <v>1.3343063256989998</v>
      </c>
      <c r="M3" s="6">
        <f t="shared" ref="M3:M65" si="1">100/J3</f>
        <v>63.221115852694801</v>
      </c>
      <c r="N3" s="6">
        <f t="shared" ref="N3:N65" si="2">J3*25</f>
        <v>39.543750000000003</v>
      </c>
      <c r="O3">
        <v>1</v>
      </c>
    </row>
    <row r="4" spans="1:15">
      <c r="A4" s="2" t="s">
        <v>15</v>
      </c>
      <c r="B4" s="6">
        <v>3.169</v>
      </c>
      <c r="C4" s="6">
        <v>3.153</v>
      </c>
      <c r="D4" s="6">
        <v>3.1259999999999999</v>
      </c>
      <c r="E4" s="6">
        <v>3.1920000000000002</v>
      </c>
      <c r="F4" s="6">
        <v>3.1360000000000001</v>
      </c>
      <c r="G4" s="6">
        <v>3.1190000000000002</v>
      </c>
      <c r="H4" s="6">
        <v>3.008</v>
      </c>
      <c r="I4" s="9">
        <v>3.1019999999999999</v>
      </c>
      <c r="J4" s="7">
        <f t="shared" ref="J4:J54" si="3">AVERAGE(B4:I4)</f>
        <v>3.1256249999999999</v>
      </c>
      <c r="K4" s="6">
        <f t="shared" si="0"/>
        <v>5.1939718665006303E-2</v>
      </c>
      <c r="L4" s="6">
        <f t="shared" ref="L4:L54" si="4">K4/J4*100</f>
        <v>1.6617386495502917</v>
      </c>
      <c r="M4" s="6">
        <f t="shared" si="1"/>
        <v>31.993601279744052</v>
      </c>
      <c r="N4" s="6">
        <f t="shared" si="2"/>
        <v>78.140625</v>
      </c>
      <c r="O4">
        <v>1</v>
      </c>
    </row>
    <row r="5" spans="1:15">
      <c r="A5" s="2" t="s">
        <v>20</v>
      </c>
      <c r="B5" s="6">
        <v>3.3239999999999998</v>
      </c>
      <c r="C5" s="6">
        <v>3.3370000000000002</v>
      </c>
      <c r="D5" s="6">
        <v>3.45</v>
      </c>
      <c r="E5" s="6">
        <v>3.3479999999999999</v>
      </c>
      <c r="F5" s="6">
        <v>3.3479999999999999</v>
      </c>
      <c r="G5" s="6">
        <v>3.3559999999999999</v>
      </c>
      <c r="H5" s="6">
        <v>3.3809999999999998</v>
      </c>
      <c r="I5" s="9">
        <v>3.395</v>
      </c>
      <c r="J5" s="7">
        <f t="shared" si="3"/>
        <v>3.3673749999999996</v>
      </c>
      <c r="K5" s="6">
        <f t="shared" si="0"/>
        <v>3.784817531929386E-2</v>
      </c>
      <c r="L5" s="6">
        <f t="shared" si="4"/>
        <v>1.12396674915309</v>
      </c>
      <c r="M5" s="6">
        <f t="shared" si="1"/>
        <v>29.6967222242845</v>
      </c>
      <c r="N5" s="6">
        <f t="shared" si="2"/>
        <v>84.184374999999989</v>
      </c>
      <c r="O5">
        <v>1</v>
      </c>
    </row>
    <row r="6" spans="1:15">
      <c r="A6" s="2" t="s">
        <v>22</v>
      </c>
      <c r="B6" s="6">
        <v>3.5329999999999999</v>
      </c>
      <c r="C6" s="6">
        <v>3.53</v>
      </c>
      <c r="D6" s="6">
        <v>3.4809999999999999</v>
      </c>
      <c r="E6" s="6">
        <v>3.4790000000000001</v>
      </c>
      <c r="F6" s="6">
        <v>3.51</v>
      </c>
      <c r="G6" s="6">
        <v>3.5129999999999999</v>
      </c>
      <c r="H6" s="6">
        <v>3.4009999999999998</v>
      </c>
      <c r="I6" s="9">
        <v>3.48</v>
      </c>
      <c r="J6" s="7">
        <f t="shared" si="3"/>
        <v>3.490875</v>
      </c>
      <c r="K6" s="6">
        <f t="shared" si="0"/>
        <v>3.9678197728727549E-2</v>
      </c>
      <c r="L6" s="6">
        <f t="shared" si="4"/>
        <v>1.136626138968813</v>
      </c>
      <c r="M6" s="6">
        <f t="shared" si="1"/>
        <v>28.646113080531386</v>
      </c>
      <c r="N6" s="6">
        <f t="shared" si="2"/>
        <v>87.271874999999994</v>
      </c>
      <c r="O6">
        <v>1</v>
      </c>
    </row>
    <row r="7" spans="1:15">
      <c r="A7" s="2" t="s">
        <v>24</v>
      </c>
      <c r="B7" s="6">
        <v>2.9359999999999999</v>
      </c>
      <c r="C7" s="6">
        <v>2.8610000000000002</v>
      </c>
      <c r="D7" s="6">
        <v>2.7930000000000001</v>
      </c>
      <c r="E7" s="6">
        <v>2.7730000000000001</v>
      </c>
      <c r="F7" s="6">
        <v>2.8330000000000002</v>
      </c>
      <c r="G7" s="6">
        <v>2.8050000000000002</v>
      </c>
      <c r="H7" s="6">
        <v>2.7610000000000001</v>
      </c>
      <c r="I7" s="9">
        <v>2.875</v>
      </c>
      <c r="J7" s="7">
        <f t="shared" si="3"/>
        <v>2.8296250000000001</v>
      </c>
      <c r="K7" s="6">
        <f t="shared" si="0"/>
        <v>5.5038480856578822E-2</v>
      </c>
      <c r="L7" s="6">
        <f t="shared" si="4"/>
        <v>1.9450803854425522</v>
      </c>
      <c r="M7" s="6">
        <f t="shared" si="1"/>
        <v>35.340371957414852</v>
      </c>
      <c r="N7" s="6">
        <f t="shared" si="2"/>
        <v>70.740624999999994</v>
      </c>
      <c r="O7">
        <v>1</v>
      </c>
    </row>
    <row r="8" spans="1:15">
      <c r="A8" s="2" t="s">
        <v>27</v>
      </c>
      <c r="B8" s="6">
        <v>3.6219999999999999</v>
      </c>
      <c r="C8" s="6">
        <v>3.8090000000000002</v>
      </c>
      <c r="D8" s="6">
        <v>3.7389999999999999</v>
      </c>
      <c r="E8" s="6">
        <v>3.778</v>
      </c>
      <c r="F8" s="6">
        <v>3.5619999999999998</v>
      </c>
      <c r="G8" s="6">
        <v>3.738</v>
      </c>
      <c r="H8" s="6">
        <v>3.7719999999999998</v>
      </c>
      <c r="I8" s="9">
        <v>3.82</v>
      </c>
      <c r="J8" s="7">
        <f t="shared" si="3"/>
        <v>3.73</v>
      </c>
      <c r="K8" s="6">
        <f t="shared" si="0"/>
        <v>8.547075523241858E-2</v>
      </c>
      <c r="L8" s="6">
        <f t="shared" si="4"/>
        <v>2.2914411590460744</v>
      </c>
      <c r="M8" s="6">
        <f t="shared" si="1"/>
        <v>26.809651474530831</v>
      </c>
      <c r="N8" s="6">
        <f t="shared" si="2"/>
        <v>93.25</v>
      </c>
      <c r="O8">
        <v>1</v>
      </c>
    </row>
    <row r="9" spans="1:15">
      <c r="A9" s="2" t="s">
        <v>29</v>
      </c>
      <c r="B9" s="6">
        <v>3.0369999999999999</v>
      </c>
      <c r="C9" s="6">
        <v>3.0190000000000001</v>
      </c>
      <c r="D9" s="6">
        <v>3.0110000000000001</v>
      </c>
      <c r="E9" s="6">
        <v>3</v>
      </c>
      <c r="F9" s="6">
        <v>2.956</v>
      </c>
      <c r="G9" s="6">
        <v>3.0950000000000002</v>
      </c>
      <c r="H9" s="6">
        <v>2.9180000000000001</v>
      </c>
      <c r="I9" s="9">
        <v>2.9630000000000001</v>
      </c>
      <c r="J9" s="7">
        <f t="shared" si="3"/>
        <v>2.9998749999999998</v>
      </c>
      <c r="K9" s="6">
        <f t="shared" si="0"/>
        <v>5.1118581504184968E-2</v>
      </c>
      <c r="L9" s="6">
        <f t="shared" si="4"/>
        <v>1.7040237177944073</v>
      </c>
      <c r="M9" s="6">
        <f t="shared" si="1"/>
        <v>33.334722280095008</v>
      </c>
      <c r="N9" s="6">
        <f t="shared" si="2"/>
        <v>74.996875000000003</v>
      </c>
      <c r="O9">
        <v>1</v>
      </c>
    </row>
    <row r="10" spans="1:15">
      <c r="A10" s="2" t="s">
        <v>31</v>
      </c>
      <c r="B10" s="6">
        <v>3.2360000000000002</v>
      </c>
      <c r="C10" s="6">
        <v>3.2309999999999999</v>
      </c>
      <c r="D10" s="6">
        <v>3.1520000000000001</v>
      </c>
      <c r="E10" s="6">
        <v>3.274</v>
      </c>
      <c r="F10" s="6">
        <v>3.282</v>
      </c>
      <c r="G10" s="6">
        <v>3.2530000000000001</v>
      </c>
      <c r="H10" s="6">
        <v>3.0939999999999999</v>
      </c>
      <c r="I10" s="9">
        <v>3.1989999999999998</v>
      </c>
      <c r="J10" s="7">
        <f t="shared" si="3"/>
        <v>3.2151250000000005</v>
      </c>
      <c r="K10" s="6">
        <f t="shared" si="0"/>
        <v>6.0183962772486201E-2</v>
      </c>
      <c r="L10" s="6">
        <f t="shared" si="4"/>
        <v>1.8719011787251254</v>
      </c>
      <c r="M10" s="6">
        <f t="shared" si="1"/>
        <v>31.102989774892109</v>
      </c>
      <c r="N10" s="6">
        <f t="shared" si="2"/>
        <v>80.378125000000011</v>
      </c>
      <c r="O10">
        <v>1</v>
      </c>
    </row>
    <row r="11" spans="1:15">
      <c r="A11" s="2" t="s">
        <v>33</v>
      </c>
      <c r="B11" s="6">
        <v>3.6150000000000002</v>
      </c>
      <c r="C11" s="6">
        <v>3.5979999999999999</v>
      </c>
      <c r="D11" s="6">
        <v>3.5249999999999999</v>
      </c>
      <c r="E11" s="6">
        <v>3.5190000000000001</v>
      </c>
      <c r="F11" s="6">
        <v>3.4020000000000001</v>
      </c>
      <c r="G11" s="6">
        <v>3.4510000000000001</v>
      </c>
      <c r="H11" s="6">
        <v>3.5089999999999999</v>
      </c>
      <c r="I11" s="9">
        <v>3.5129999999999999</v>
      </c>
      <c r="J11" s="7">
        <f>AVERAGE(B11:I11)</f>
        <v>3.5164999999999997</v>
      </c>
      <c r="K11" s="6">
        <f t="shared" si="0"/>
        <v>6.5088401424524156E-2</v>
      </c>
      <c r="L11" s="6">
        <f t="shared" si="4"/>
        <v>1.8509427392158158</v>
      </c>
      <c r="M11" s="6">
        <f t="shared" si="1"/>
        <v>28.437366699843597</v>
      </c>
      <c r="N11" s="6">
        <f t="shared" si="2"/>
        <v>87.912499999999994</v>
      </c>
      <c r="O11">
        <v>1</v>
      </c>
    </row>
    <row r="12" spans="1:15">
      <c r="A12" s="2" t="s">
        <v>36</v>
      </c>
      <c r="B12" s="6">
        <v>2.7839999999999998</v>
      </c>
      <c r="C12" s="6">
        <v>2.7389999999999999</v>
      </c>
      <c r="D12" s="6">
        <v>2.7589999999999999</v>
      </c>
      <c r="E12" s="6">
        <v>2.7530000000000001</v>
      </c>
      <c r="F12" s="6">
        <v>2.8359999999999999</v>
      </c>
      <c r="G12" s="6">
        <v>2.7170000000000001</v>
      </c>
      <c r="H12" s="6">
        <v>2.754</v>
      </c>
      <c r="I12" s="9">
        <v>2.7080000000000002</v>
      </c>
      <c r="J12" s="7">
        <f>AVERAGE(B12:I12)</f>
        <v>2.7562500000000005</v>
      </c>
      <c r="K12" s="6">
        <f t="shared" si="0"/>
        <v>3.7615654985657145E-2</v>
      </c>
      <c r="L12" s="6">
        <f t="shared" si="4"/>
        <v>1.3647403169399415</v>
      </c>
      <c r="M12" s="6">
        <f t="shared" si="1"/>
        <v>36.281179138321988</v>
      </c>
      <c r="N12" s="6">
        <f t="shared" si="2"/>
        <v>68.906250000000014</v>
      </c>
      <c r="O12">
        <v>1</v>
      </c>
    </row>
    <row r="13" spans="1:15">
      <c r="A13" s="2" t="s">
        <v>38</v>
      </c>
      <c r="B13" s="6">
        <v>3.3039999999999998</v>
      </c>
      <c r="C13" s="6">
        <v>3.1040000000000001</v>
      </c>
      <c r="D13" s="6">
        <v>3.1459999999999999</v>
      </c>
      <c r="E13" s="6">
        <v>3.2650000000000001</v>
      </c>
      <c r="F13" s="6">
        <v>3.1749999999999998</v>
      </c>
      <c r="G13" s="6">
        <v>3.1059999999999999</v>
      </c>
      <c r="H13" s="6">
        <v>3.169</v>
      </c>
      <c r="I13" s="9">
        <v>3.2759999999999998</v>
      </c>
      <c r="J13" s="7">
        <f t="shared" ref="J13:J17" si="5">AVERAGE(B13:I13)</f>
        <v>3.1931250000000002</v>
      </c>
      <c r="K13" s="6">
        <f t="shared" ref="K13:K17" si="6">_xlfn.STDEV.P(B13:I13)</f>
        <v>7.3308317229356698E-2</v>
      </c>
      <c r="L13" s="6">
        <f t="shared" ref="L13:L17" si="7">K13/J13*100</f>
        <v>2.2958173334697731</v>
      </c>
      <c r="M13" s="6">
        <f t="shared" ref="M13:M17" si="8">100/J13</f>
        <v>31.317283225680171</v>
      </c>
      <c r="N13" s="6">
        <f t="shared" ref="N13:N17" si="9">J13*25</f>
        <v>79.828125</v>
      </c>
      <c r="O13">
        <v>1</v>
      </c>
    </row>
    <row r="14" spans="1:15">
      <c r="A14" s="2" t="s">
        <v>40</v>
      </c>
      <c r="B14" s="6">
        <v>3.137</v>
      </c>
      <c r="C14" s="6">
        <v>3.14</v>
      </c>
      <c r="D14" s="6">
        <v>3.2130000000000001</v>
      </c>
      <c r="E14" s="6">
        <v>3.0880000000000001</v>
      </c>
      <c r="F14" s="6">
        <v>3.1419999999999999</v>
      </c>
      <c r="G14" s="6">
        <v>3.16</v>
      </c>
      <c r="H14" s="6">
        <v>3.1909999999999998</v>
      </c>
      <c r="I14" s="9">
        <v>3.1280000000000001</v>
      </c>
      <c r="J14" s="7">
        <f t="shared" si="5"/>
        <v>3.1498749999999998</v>
      </c>
      <c r="K14" s="6">
        <f t="shared" si="6"/>
        <v>3.6074358968663574E-2</v>
      </c>
      <c r="L14" s="6">
        <f t="shared" si="7"/>
        <v>1.1452631919890019</v>
      </c>
      <c r="M14" s="6">
        <f t="shared" si="8"/>
        <v>31.747291559188859</v>
      </c>
      <c r="N14" s="6">
        <f t="shared" si="9"/>
        <v>78.746874999999989</v>
      </c>
      <c r="O14">
        <v>1</v>
      </c>
    </row>
    <row r="15" spans="1:15">
      <c r="A15" s="2" t="s">
        <v>42</v>
      </c>
      <c r="B15" s="6">
        <v>2.39</v>
      </c>
      <c r="C15" s="6">
        <v>2.4039999999999999</v>
      </c>
      <c r="D15" s="6">
        <v>2.452</v>
      </c>
      <c r="E15" s="6">
        <v>2.5110000000000001</v>
      </c>
      <c r="F15" s="6">
        <v>2.4700000000000002</v>
      </c>
      <c r="G15" s="6">
        <v>2.4790000000000001</v>
      </c>
      <c r="H15" s="6">
        <v>2.4670000000000001</v>
      </c>
      <c r="I15" s="9">
        <v>2.528</v>
      </c>
      <c r="J15" s="7">
        <f t="shared" si="5"/>
        <v>2.4626250000000001</v>
      </c>
      <c r="K15" s="6">
        <f t="shared" si="6"/>
        <v>4.4412660075703665E-2</v>
      </c>
      <c r="L15" s="6">
        <f t="shared" si="7"/>
        <v>1.8034682534167266</v>
      </c>
      <c r="M15" s="6">
        <f t="shared" si="8"/>
        <v>40.607075782955178</v>
      </c>
      <c r="N15" s="6">
        <f t="shared" si="9"/>
        <v>61.565625000000004</v>
      </c>
      <c r="O15">
        <v>1</v>
      </c>
    </row>
    <row r="16" spans="1:15">
      <c r="A16" s="2" t="s">
        <v>45</v>
      </c>
      <c r="B16" s="6">
        <v>2.319</v>
      </c>
      <c r="C16" s="6">
        <v>2.1709999999999998</v>
      </c>
      <c r="D16" s="6">
        <v>2.1970000000000001</v>
      </c>
      <c r="E16" s="6">
        <v>2.12</v>
      </c>
      <c r="F16" s="6">
        <v>2.2519999999999998</v>
      </c>
      <c r="G16" s="6">
        <v>2.2440000000000002</v>
      </c>
      <c r="H16" s="6">
        <v>2.2040000000000002</v>
      </c>
      <c r="I16" s="9">
        <v>2.125</v>
      </c>
      <c r="J16" s="7">
        <f t="shared" si="5"/>
        <v>2.2040000000000002</v>
      </c>
      <c r="K16" s="6">
        <f t="shared" si="6"/>
        <v>6.2813215170057946E-2</v>
      </c>
      <c r="L16" s="6">
        <f t="shared" si="7"/>
        <v>2.8499643906559862</v>
      </c>
      <c r="M16" s="6">
        <f t="shared" si="8"/>
        <v>45.372050816696913</v>
      </c>
      <c r="N16" s="6">
        <f t="shared" si="9"/>
        <v>55.1</v>
      </c>
      <c r="O16">
        <v>1</v>
      </c>
    </row>
    <row r="17" spans="1:16">
      <c r="A17" s="2" t="s">
        <v>47</v>
      </c>
      <c r="B17" s="6">
        <v>3.3170000000000002</v>
      </c>
      <c r="C17" s="6">
        <v>3.3639999999999999</v>
      </c>
      <c r="D17" s="6">
        <v>3.3010000000000002</v>
      </c>
      <c r="E17" s="6">
        <v>3.145</v>
      </c>
      <c r="F17" s="6">
        <v>3.25</v>
      </c>
      <c r="G17" s="6">
        <v>3.2559999999999998</v>
      </c>
      <c r="H17" s="6">
        <v>3.2949999999999999</v>
      </c>
      <c r="I17" s="9">
        <v>3.113</v>
      </c>
      <c r="J17" s="7">
        <f t="shared" si="5"/>
        <v>3.2551249999999996</v>
      </c>
      <c r="K17" s="6">
        <f t="shared" si="6"/>
        <v>8.0413676541991289E-2</v>
      </c>
      <c r="L17" s="6">
        <f t="shared" si="7"/>
        <v>2.4703713848774256</v>
      </c>
      <c r="M17" s="6">
        <f t="shared" si="8"/>
        <v>30.720786452133179</v>
      </c>
      <c r="N17" s="6">
        <f t="shared" si="9"/>
        <v>81.378124999999983</v>
      </c>
      <c r="O17">
        <v>1</v>
      </c>
    </row>
    <row r="18" spans="1:16">
      <c r="A18" s="2" t="s">
        <v>49</v>
      </c>
      <c r="B18" s="193">
        <v>4.0069999999999997</v>
      </c>
      <c r="C18" s="193">
        <v>3.9180000000000001</v>
      </c>
      <c r="D18" s="193">
        <v>3.9169999999999998</v>
      </c>
      <c r="E18" s="193">
        <v>3.9860000000000002</v>
      </c>
      <c r="F18" s="193">
        <v>4.0190000000000001</v>
      </c>
      <c r="G18" s="193">
        <v>3.964</v>
      </c>
      <c r="H18" s="193">
        <v>3.8250000000000002</v>
      </c>
      <c r="I18" s="195">
        <v>3.9980000000000002</v>
      </c>
      <c r="J18" s="192">
        <f>AVERAGE(B18:I18)</f>
        <v>3.95425</v>
      </c>
      <c r="K18" s="193">
        <f>_xlfn.STDEV.P(B18:I18)</f>
        <v>6.0621262771407163E-2</v>
      </c>
      <c r="L18" s="193">
        <f>K18/J18*100</f>
        <v>1.5330660117950854</v>
      </c>
      <c r="M18" s="193">
        <f>100/J18</f>
        <v>25.289245748245559</v>
      </c>
      <c r="N18" s="193">
        <f>J18*25</f>
        <v>98.856250000000003</v>
      </c>
      <c r="O18">
        <v>1</v>
      </c>
      <c r="P18" t="s">
        <v>217</v>
      </c>
    </row>
    <row r="19" spans="1:16">
      <c r="A19" s="2" t="s">
        <v>86</v>
      </c>
      <c r="B19" s="6">
        <v>2.2919999999999998</v>
      </c>
      <c r="C19" s="6">
        <v>2.3620000000000001</v>
      </c>
      <c r="D19" s="6">
        <v>2.3199999999999998</v>
      </c>
      <c r="E19" s="6">
        <v>2.3239999999999998</v>
      </c>
      <c r="F19" s="6">
        <v>2.3450000000000002</v>
      </c>
      <c r="G19" s="6">
        <v>2.3359999999999999</v>
      </c>
      <c r="H19" s="6">
        <v>2.2759999999999998</v>
      </c>
      <c r="I19" s="9">
        <v>2.36</v>
      </c>
      <c r="J19" s="7">
        <f>AVERAGE(B19:I19)</f>
        <v>2.3268750000000002</v>
      </c>
      <c r="K19" s="6">
        <f>_xlfn.STDEV.P(B19:I19)</f>
        <v>2.8729068467320776E-2</v>
      </c>
      <c r="L19" s="6">
        <f>K19/J19*100</f>
        <v>1.2346631627105356</v>
      </c>
      <c r="M19" s="6">
        <f>100/J19</f>
        <v>42.976094547408003</v>
      </c>
      <c r="N19" s="6">
        <f>J19*25</f>
        <v>58.171875000000007</v>
      </c>
      <c r="O19">
        <v>1</v>
      </c>
    </row>
    <row r="20" spans="1:16">
      <c r="A20" s="2" t="s">
        <v>51</v>
      </c>
      <c r="B20" s="6">
        <v>2.3959999999999999</v>
      </c>
      <c r="C20" s="6">
        <v>2.464</v>
      </c>
      <c r="D20" s="6">
        <v>2.3450000000000002</v>
      </c>
      <c r="E20" s="6">
        <v>2.3969999999999998</v>
      </c>
      <c r="F20" s="6">
        <v>2.3650000000000002</v>
      </c>
      <c r="G20" s="6">
        <v>2.3279999999999998</v>
      </c>
      <c r="H20" s="6">
        <v>2.411</v>
      </c>
      <c r="I20" s="9">
        <v>2.3879999999999999</v>
      </c>
      <c r="J20" s="7">
        <f t="shared" ref="J20:J22" si="10">AVERAGE(B20:I20)</f>
        <v>2.3867500000000001</v>
      </c>
      <c r="K20" s="6">
        <f t="shared" ref="K20:K22" si="11">_xlfn.STDEV.P(B20:I20)</f>
        <v>3.9394637960006661E-2</v>
      </c>
      <c r="L20" s="6">
        <f t="shared" ref="L20:L22" si="12">K20/J20*100</f>
        <v>1.6505556912121779</v>
      </c>
      <c r="M20" s="6">
        <f t="shared" ref="M20:M22" si="13">100/J20</f>
        <v>41.897978422541108</v>
      </c>
      <c r="N20" s="6">
        <f t="shared" ref="N20:N22" si="14">J20*25</f>
        <v>59.668750000000003</v>
      </c>
      <c r="O20">
        <v>1</v>
      </c>
    </row>
    <row r="21" spans="1:16">
      <c r="A21" s="2" t="s">
        <v>54</v>
      </c>
      <c r="B21" s="6">
        <v>3.4660000000000002</v>
      </c>
      <c r="C21" s="6">
        <v>3.4249999999999998</v>
      </c>
      <c r="D21" s="6">
        <v>3.4510000000000001</v>
      </c>
      <c r="E21" s="6">
        <v>3.3889999999999998</v>
      </c>
      <c r="F21" s="6">
        <v>3.4550000000000001</v>
      </c>
      <c r="G21" s="6">
        <v>3.4180000000000001</v>
      </c>
      <c r="H21" s="6">
        <v>3.48</v>
      </c>
      <c r="I21" s="9">
        <v>3.4079999999999999</v>
      </c>
      <c r="J21" s="7">
        <f t="shared" si="10"/>
        <v>3.4365000000000001</v>
      </c>
      <c r="K21" s="6">
        <f t="shared" si="11"/>
        <v>2.9278831943914781E-2</v>
      </c>
      <c r="L21" s="6">
        <f t="shared" si="12"/>
        <v>0.85199569166054934</v>
      </c>
      <c r="M21" s="6">
        <f t="shared" si="13"/>
        <v>29.099374363451187</v>
      </c>
      <c r="N21" s="6">
        <f t="shared" si="14"/>
        <v>85.912500000000009</v>
      </c>
      <c r="O21">
        <v>3</v>
      </c>
    </row>
    <row r="22" spans="1:16">
      <c r="A22" s="2" t="s">
        <v>56</v>
      </c>
      <c r="B22" s="6">
        <v>2.3660000000000001</v>
      </c>
      <c r="C22" s="6">
        <v>2.294</v>
      </c>
      <c r="D22" s="6">
        <v>2.4670000000000001</v>
      </c>
      <c r="E22" s="6">
        <v>2.3420000000000001</v>
      </c>
      <c r="F22" s="6">
        <v>2.2959999999999998</v>
      </c>
      <c r="G22" s="6">
        <v>2.3879999999999999</v>
      </c>
      <c r="H22" s="6">
        <v>2.3730000000000002</v>
      </c>
      <c r="I22" s="9">
        <v>2.3290000000000002</v>
      </c>
      <c r="J22" s="7">
        <f t="shared" si="10"/>
        <v>2.3568750000000001</v>
      </c>
      <c r="K22" s="6">
        <f t="shared" si="11"/>
        <v>5.2555773945400168E-2</v>
      </c>
      <c r="L22" s="6">
        <f t="shared" si="12"/>
        <v>2.229892291504648</v>
      </c>
      <c r="M22" s="6">
        <f t="shared" si="13"/>
        <v>42.429063908777515</v>
      </c>
      <c r="N22" s="6">
        <f t="shared" si="14"/>
        <v>58.921875</v>
      </c>
      <c r="O22">
        <v>3</v>
      </c>
    </row>
    <row r="23" spans="1:16">
      <c r="A23" s="2" t="s">
        <v>59</v>
      </c>
      <c r="B23" s="6">
        <v>1.2310000000000001</v>
      </c>
      <c r="C23" s="6">
        <v>1.1739999999999999</v>
      </c>
      <c r="D23" s="6">
        <v>1.2210000000000001</v>
      </c>
      <c r="E23" s="6">
        <v>1.177</v>
      </c>
      <c r="F23" s="6">
        <v>1.2270000000000001</v>
      </c>
      <c r="G23" s="6">
        <v>1.23</v>
      </c>
      <c r="H23" s="6">
        <v>1.196</v>
      </c>
      <c r="I23" s="9">
        <v>1.2</v>
      </c>
      <c r="J23" s="7">
        <f t="shared" ref="J23:J29" si="15">AVERAGE(B23:I23)</f>
        <v>1.2070000000000001</v>
      </c>
      <c r="K23" s="6">
        <f t="shared" ref="K23:K29" si="16">_xlfn.STDEV.P(B23:I23)</f>
        <v>2.1965882636488833E-2</v>
      </c>
      <c r="L23" s="6">
        <f t="shared" ref="L23:L29" si="17">K23/J23*100</f>
        <v>1.8198742863702428</v>
      </c>
      <c r="M23" s="6">
        <f t="shared" ref="M23:M29" si="18">100/J23</f>
        <v>82.850041425020706</v>
      </c>
      <c r="N23" s="6">
        <f t="shared" ref="N23:N29" si="19">J23*25</f>
        <v>30.175000000000001</v>
      </c>
      <c r="O23">
        <v>4</v>
      </c>
    </row>
    <row r="24" spans="1:16">
      <c r="A24" s="2" t="s">
        <v>62</v>
      </c>
      <c r="B24" s="6">
        <v>3.5489999999999999</v>
      </c>
      <c r="C24" s="6">
        <v>3.4929999999999999</v>
      </c>
      <c r="D24" s="6">
        <v>3.5619999999999998</v>
      </c>
      <c r="E24" s="6">
        <v>3.5190000000000001</v>
      </c>
      <c r="F24" s="6">
        <v>3.427</v>
      </c>
      <c r="G24" s="6">
        <v>3.4660000000000002</v>
      </c>
      <c r="H24" s="6">
        <v>3.54</v>
      </c>
      <c r="I24" s="9">
        <v>3.5150000000000001</v>
      </c>
      <c r="J24" s="7">
        <f t="shared" si="15"/>
        <v>3.5088750000000002</v>
      </c>
      <c r="K24" s="6">
        <f t="shared" si="16"/>
        <v>4.2330359967758309E-2</v>
      </c>
      <c r="L24" s="6">
        <f t="shared" si="17"/>
        <v>1.2063798216738502</v>
      </c>
      <c r="M24" s="6">
        <f t="shared" si="18"/>
        <v>28.49916283709166</v>
      </c>
      <c r="N24" s="6">
        <f t="shared" si="19"/>
        <v>87.721875000000011</v>
      </c>
      <c r="O24">
        <v>4</v>
      </c>
    </row>
    <row r="25" spans="1:16">
      <c r="A25" s="2" t="s">
        <v>64</v>
      </c>
      <c r="B25" s="6">
        <v>2.859</v>
      </c>
      <c r="C25" s="6">
        <v>2.867</v>
      </c>
      <c r="D25" s="6">
        <v>2.8250000000000002</v>
      </c>
      <c r="E25" s="6">
        <v>2.8490000000000002</v>
      </c>
      <c r="F25" s="6">
        <v>2.8210000000000002</v>
      </c>
      <c r="G25" s="6">
        <v>2.7410000000000001</v>
      </c>
      <c r="H25" s="6">
        <v>2.8119999999999998</v>
      </c>
      <c r="I25" s="9">
        <v>2.7669999999999999</v>
      </c>
      <c r="J25" s="7">
        <f t="shared" si="15"/>
        <v>2.817625</v>
      </c>
      <c r="K25" s="6">
        <f t="shared" si="16"/>
        <v>4.133079209257913E-2</v>
      </c>
      <c r="L25" s="6">
        <f t="shared" si="17"/>
        <v>1.4668663180011225</v>
      </c>
      <c r="M25" s="6">
        <f t="shared" si="18"/>
        <v>35.490883279357611</v>
      </c>
      <c r="N25" s="6">
        <f t="shared" si="19"/>
        <v>70.440624999999997</v>
      </c>
      <c r="O25">
        <v>4</v>
      </c>
    </row>
    <row r="26" spans="1:16">
      <c r="A26" s="2" t="s">
        <v>66</v>
      </c>
      <c r="B26" s="6">
        <v>3.2850000000000001</v>
      </c>
      <c r="C26" s="6">
        <v>3.4089999999999998</v>
      </c>
      <c r="D26" s="6">
        <v>3.2919999999999998</v>
      </c>
      <c r="E26" s="6">
        <v>3.4569999999999999</v>
      </c>
      <c r="F26" s="6">
        <v>3.3079999999999998</v>
      </c>
      <c r="G26" s="6">
        <v>3.2639999999999998</v>
      </c>
      <c r="H26" s="6">
        <v>3.2629999999999999</v>
      </c>
      <c r="I26" s="9">
        <v>3.383</v>
      </c>
      <c r="J26" s="7">
        <f t="shared" si="15"/>
        <v>3.3326249999999997</v>
      </c>
      <c r="K26" s="6">
        <f t="shared" si="16"/>
        <v>6.8849360018812061E-2</v>
      </c>
      <c r="L26" s="6">
        <f t="shared" si="17"/>
        <v>2.0659198085236734</v>
      </c>
      <c r="M26" s="6">
        <f t="shared" si="18"/>
        <v>30.006376354975433</v>
      </c>
      <c r="N26" s="6">
        <f t="shared" si="19"/>
        <v>83.315624999999997</v>
      </c>
      <c r="O26">
        <v>4</v>
      </c>
    </row>
    <row r="27" spans="1:16">
      <c r="A27" s="2" t="s">
        <v>68</v>
      </c>
      <c r="B27" s="6">
        <v>2.407</v>
      </c>
      <c r="C27" s="6">
        <v>2.3769999999999998</v>
      </c>
      <c r="D27" s="6">
        <v>2.4420000000000002</v>
      </c>
      <c r="E27" s="6">
        <v>2.4390000000000001</v>
      </c>
      <c r="F27" s="6">
        <v>2.4420000000000002</v>
      </c>
      <c r="G27" s="6">
        <v>2.399</v>
      </c>
      <c r="H27" s="6">
        <v>2.3479999999999999</v>
      </c>
      <c r="I27" s="9">
        <v>2.4020000000000001</v>
      </c>
      <c r="J27" s="7">
        <f t="shared" si="15"/>
        <v>2.407</v>
      </c>
      <c r="K27" s="6">
        <f t="shared" si="16"/>
        <v>3.1511902513177571E-2</v>
      </c>
      <c r="L27" s="6">
        <f t="shared" si="17"/>
        <v>1.3091775036633806</v>
      </c>
      <c r="M27" s="6">
        <f t="shared" si="18"/>
        <v>41.545492314083923</v>
      </c>
      <c r="N27" s="6">
        <f t="shared" si="19"/>
        <v>60.174999999999997</v>
      </c>
      <c r="O27">
        <v>4</v>
      </c>
    </row>
    <row r="28" spans="1:16">
      <c r="A28" s="2" t="s">
        <v>71</v>
      </c>
      <c r="B28" s="6">
        <v>3.1760000000000002</v>
      </c>
      <c r="C28" s="6">
        <v>3.2160000000000002</v>
      </c>
      <c r="D28" s="6">
        <v>3.1440000000000001</v>
      </c>
      <c r="E28" s="6">
        <v>3.133</v>
      </c>
      <c r="F28" s="6">
        <v>3.181</v>
      </c>
      <c r="G28" s="6">
        <v>3.3250000000000002</v>
      </c>
      <c r="H28" s="6">
        <v>3.3290000000000002</v>
      </c>
      <c r="I28" s="9">
        <v>3.194</v>
      </c>
      <c r="J28" s="7">
        <f t="shared" si="15"/>
        <v>3.21225</v>
      </c>
      <c r="K28" s="6">
        <f t="shared" si="16"/>
        <v>7.0639489664068258E-2</v>
      </c>
      <c r="L28" s="6">
        <f t="shared" si="17"/>
        <v>2.1990657534148421</v>
      </c>
      <c r="M28" s="6">
        <f t="shared" si="18"/>
        <v>31.130827301735543</v>
      </c>
      <c r="N28" s="6">
        <f t="shared" si="19"/>
        <v>80.306250000000006</v>
      </c>
      <c r="O28">
        <v>4</v>
      </c>
    </row>
    <row r="29" spans="1:16">
      <c r="A29" s="2" t="s">
        <v>74</v>
      </c>
      <c r="B29" s="6">
        <v>2.8809999999999998</v>
      </c>
      <c r="C29" s="6">
        <v>2.7629999999999999</v>
      </c>
      <c r="D29" s="6">
        <v>2.8250000000000002</v>
      </c>
      <c r="E29" s="6">
        <v>2.7280000000000002</v>
      </c>
      <c r="F29" s="6">
        <v>2.7629999999999999</v>
      </c>
      <c r="G29" s="6">
        <v>2.8809999999999998</v>
      </c>
      <c r="H29" s="6">
        <v>2.7850000000000001</v>
      </c>
      <c r="I29" s="9">
        <v>2.8719999999999999</v>
      </c>
      <c r="J29" s="7">
        <f t="shared" si="15"/>
        <v>2.8122500000000001</v>
      </c>
      <c r="K29" s="6">
        <f t="shared" si="16"/>
        <v>5.6874313182666114E-2</v>
      </c>
      <c r="L29" s="6">
        <f t="shared" si="17"/>
        <v>2.0223775689453682</v>
      </c>
      <c r="M29" s="6">
        <f t="shared" si="18"/>
        <v>35.558716330340474</v>
      </c>
      <c r="N29" s="6">
        <f t="shared" si="19"/>
        <v>70.306250000000006</v>
      </c>
      <c r="O29">
        <v>4</v>
      </c>
    </row>
    <row r="30" spans="1:16">
      <c r="A30" s="2" t="s">
        <v>76</v>
      </c>
      <c r="B30" s="6">
        <v>1.62</v>
      </c>
      <c r="C30" s="6">
        <v>1.546</v>
      </c>
      <c r="D30" s="6">
        <v>1.5289999999999999</v>
      </c>
      <c r="E30" s="6">
        <v>1.526</v>
      </c>
      <c r="F30" s="6">
        <v>1.5529999999999999</v>
      </c>
      <c r="G30" s="6">
        <v>1.506</v>
      </c>
      <c r="H30" s="6">
        <v>1.5029999999999999</v>
      </c>
      <c r="I30" s="9">
        <v>1.552</v>
      </c>
      <c r="J30" s="7">
        <f>AVERAGE(B30:I30)</f>
        <v>1.5418749999999999</v>
      </c>
      <c r="K30" s="6">
        <f>_xlfn.STDEV.P(B30:I30)</f>
        <v>3.4573969615883035E-2</v>
      </c>
      <c r="L30" s="6">
        <f>K30/J30*100</f>
        <v>2.2423328490236263</v>
      </c>
      <c r="M30" s="6">
        <f>100/J30</f>
        <v>64.856100526955828</v>
      </c>
      <c r="N30" s="6">
        <f>J30*25</f>
        <v>38.546875</v>
      </c>
      <c r="O30">
        <v>4</v>
      </c>
    </row>
    <row r="31" spans="1:16">
      <c r="A31" s="2" t="s">
        <v>90</v>
      </c>
      <c r="B31" s="6">
        <v>3.0870000000000002</v>
      </c>
      <c r="C31" s="6">
        <v>3.07</v>
      </c>
      <c r="D31" s="6">
        <v>3.093</v>
      </c>
      <c r="E31" s="6">
        <v>3.0409999999999999</v>
      </c>
      <c r="F31" s="6">
        <v>3.0249999999999999</v>
      </c>
      <c r="G31" s="6">
        <v>3.1019999999999999</v>
      </c>
      <c r="H31" s="6">
        <v>3.1160000000000001</v>
      </c>
      <c r="I31" s="9">
        <v>3.1059999999999999</v>
      </c>
      <c r="J31" s="7">
        <f>AVERAGE(B31:I31)</f>
        <v>3.08</v>
      </c>
      <c r="K31" s="6">
        <f>_xlfn.STDEV.P(B31:I31)</f>
        <v>3.0248966924508382E-2</v>
      </c>
      <c r="L31" s="6">
        <f>K31/J31*100</f>
        <v>0.98210931573079163</v>
      </c>
      <c r="M31" s="6">
        <f>100/J31</f>
        <v>32.467532467532465</v>
      </c>
      <c r="N31" s="6">
        <f>J31*25</f>
        <v>77</v>
      </c>
      <c r="O31">
        <v>1</v>
      </c>
    </row>
    <row r="32" spans="1:16">
      <c r="A32" s="2" t="s">
        <v>91</v>
      </c>
      <c r="B32" s="6">
        <v>3.56</v>
      </c>
      <c r="C32" s="6">
        <v>3.4620000000000002</v>
      </c>
      <c r="D32" s="6">
        <v>3.5169999999999999</v>
      </c>
      <c r="E32" s="6">
        <v>3.4860000000000002</v>
      </c>
      <c r="F32" s="6">
        <v>3.5179999999999998</v>
      </c>
      <c r="G32" s="6">
        <v>3.5720000000000001</v>
      </c>
      <c r="H32" s="6">
        <v>3.581</v>
      </c>
      <c r="I32" s="9">
        <v>3.5339999999999998</v>
      </c>
      <c r="J32" s="7">
        <f>AVERAGE(B32:I32)</f>
        <v>3.5287499999999996</v>
      </c>
      <c r="K32" s="6">
        <f>_xlfn.STDEV.P(B32:I32)</f>
        <v>3.8957508903932701E-2</v>
      </c>
      <c r="L32" s="6">
        <f>K32/J32*100</f>
        <v>1.1040030861900874</v>
      </c>
      <c r="M32" s="6">
        <f>100/J32</f>
        <v>28.338646829613889</v>
      </c>
      <c r="N32" s="6">
        <f>J32*25</f>
        <v>88.218749999999986</v>
      </c>
      <c r="O32">
        <v>1</v>
      </c>
    </row>
    <row r="33" spans="1:17">
      <c r="A33" s="2" t="s">
        <v>101</v>
      </c>
      <c r="B33" s="6">
        <v>2.5066999999999999</v>
      </c>
      <c r="C33" s="6">
        <v>2.4417</v>
      </c>
      <c r="D33" s="6">
        <v>2.3812000000000002</v>
      </c>
      <c r="E33" s="6">
        <v>2.4702999999999999</v>
      </c>
      <c r="F33" s="6">
        <v>2.4969000000000001</v>
      </c>
      <c r="G33" s="6">
        <v>2.4354</v>
      </c>
      <c r="H33" s="6">
        <v>2.4083999999999999</v>
      </c>
      <c r="I33" s="9">
        <v>2.4460000000000002</v>
      </c>
      <c r="J33" s="7">
        <f>AVERAGE(B33:I33)</f>
        <v>2.4483250000000001</v>
      </c>
      <c r="K33" s="6">
        <f>_xlfn.STDEV.P(B33:I33)</f>
        <v>3.9632996038654431E-2</v>
      </c>
      <c r="L33" s="6">
        <f>K33/J33*100</f>
        <v>1.6187800246558126</v>
      </c>
      <c r="M33" s="6">
        <f>100/J33</f>
        <v>40.844250661166306</v>
      </c>
      <c r="N33" s="6">
        <f>J33*25</f>
        <v>61.208125000000003</v>
      </c>
      <c r="O33">
        <v>5</v>
      </c>
    </row>
    <row r="34" spans="1:17">
      <c r="A34" s="2" t="s">
        <v>102</v>
      </c>
      <c r="B34" s="8">
        <v>2.9554</v>
      </c>
      <c r="C34" s="8">
        <v>3.1309</v>
      </c>
      <c r="D34" s="8">
        <v>2.9544000000000001</v>
      </c>
      <c r="E34" s="8">
        <v>3.0581</v>
      </c>
      <c r="F34" s="8">
        <v>3.0470000000000002</v>
      </c>
      <c r="G34" s="8">
        <v>3.1400999999999999</v>
      </c>
      <c r="H34" s="8">
        <v>3.1288999999999998</v>
      </c>
      <c r="I34" s="10">
        <v>3.0777999999999999</v>
      </c>
      <c r="J34" s="7">
        <f t="shared" ref="J34:J35" si="20">AVERAGE(B34:I34)</f>
        <v>3.0615749999999999</v>
      </c>
      <c r="K34" s="6">
        <f t="shared" ref="K34:K35" si="21">_xlfn.STDEV.P(B34:I34)</f>
        <v>6.9598989755599097E-2</v>
      </c>
      <c r="L34" s="6">
        <f t="shared" ref="L34:L35" si="22">K34/J34*100</f>
        <v>2.2733067050651741</v>
      </c>
      <c r="M34" s="6">
        <f t="shared" ref="M34:M35" si="23">100/J34</f>
        <v>32.66292676155247</v>
      </c>
      <c r="N34" s="6">
        <f t="shared" ref="N34:N35" si="24">J34*25</f>
        <v>76.539374999999993</v>
      </c>
      <c r="O34">
        <v>5</v>
      </c>
    </row>
    <row r="35" spans="1:17">
      <c r="A35" s="2" t="s">
        <v>103</v>
      </c>
      <c r="B35" s="8">
        <v>3.2749000000000001</v>
      </c>
      <c r="C35" s="8">
        <v>3.3540000000000001</v>
      </c>
      <c r="D35" s="8">
        <v>3.3226</v>
      </c>
      <c r="E35" s="8">
        <v>3.3003999999999998</v>
      </c>
      <c r="F35" s="8">
        <v>3.4916</v>
      </c>
      <c r="G35" s="8">
        <v>3.4102999999999999</v>
      </c>
      <c r="H35" s="8">
        <v>3.4539</v>
      </c>
      <c r="I35" s="10">
        <v>3.3742000000000001</v>
      </c>
      <c r="J35" s="7">
        <f t="shared" si="20"/>
        <v>3.3727374999999995</v>
      </c>
      <c r="K35" s="6">
        <f t="shared" si="21"/>
        <v>7.0532331903532017E-2</v>
      </c>
      <c r="L35" s="6">
        <f t="shared" si="22"/>
        <v>2.0912487824365824</v>
      </c>
      <c r="M35" s="6">
        <f t="shared" si="23"/>
        <v>29.649505779800538</v>
      </c>
      <c r="N35" s="6">
        <f t="shared" si="24"/>
        <v>84.318437499999987</v>
      </c>
      <c r="O35">
        <v>5</v>
      </c>
    </row>
    <row r="36" spans="1:17">
      <c r="A36" s="2" t="s">
        <v>104</v>
      </c>
      <c r="B36" s="13">
        <v>3.1867000000000001</v>
      </c>
      <c r="C36" s="13">
        <v>3.1305999999999998</v>
      </c>
      <c r="D36" s="13">
        <v>3.0592999999999999</v>
      </c>
      <c r="E36" s="13">
        <v>3.1478000000000002</v>
      </c>
      <c r="F36" s="13">
        <v>3.1057000000000001</v>
      </c>
      <c r="G36" s="13">
        <v>3.1324999999999998</v>
      </c>
      <c r="H36" s="13">
        <v>3.1105999999999998</v>
      </c>
      <c r="I36" s="14">
        <v>3.1286</v>
      </c>
      <c r="J36" s="7">
        <f t="shared" ref="J36:J42" si="25">AVERAGE(B36:I36)</f>
        <v>3.1252249999999995</v>
      </c>
      <c r="K36" s="6">
        <f t="shared" ref="K36:K42" si="26">_xlfn.STDEV.P(B36:I36)</f>
        <v>3.4138019494399548E-2</v>
      </c>
      <c r="L36" s="6">
        <f t="shared" ref="L36:L42" si="27">K36/J36*100</f>
        <v>1.0923379754865508</v>
      </c>
      <c r="M36" s="6">
        <f t="shared" ref="M36:M42" si="28">100/J36</f>
        <v>31.997696165876061</v>
      </c>
      <c r="N36" s="6">
        <f t="shared" ref="N36:N42" si="29">J36*25</f>
        <v>78.130624999999981</v>
      </c>
      <c r="O36">
        <v>6</v>
      </c>
    </row>
    <row r="37" spans="1:17">
      <c r="A37" s="2" t="s">
        <v>108</v>
      </c>
      <c r="B37" s="13">
        <v>3.2684000000000002</v>
      </c>
      <c r="C37" s="13">
        <v>3.4441999999999999</v>
      </c>
      <c r="D37" s="13">
        <v>3.4272999999999998</v>
      </c>
      <c r="E37" s="13">
        <v>3.3895</v>
      </c>
      <c r="F37" s="13">
        <v>3.2273999999999998</v>
      </c>
      <c r="G37" s="13">
        <v>3.3786999999999998</v>
      </c>
      <c r="H37" s="13">
        <v>3.3647999999999998</v>
      </c>
      <c r="I37" s="14">
        <v>3.3494000000000002</v>
      </c>
      <c r="J37" s="7">
        <f t="shared" si="25"/>
        <v>3.3562124999999998</v>
      </c>
      <c r="K37" s="6">
        <f t="shared" si="26"/>
        <v>6.967139724269919E-2</v>
      </c>
      <c r="L37" s="6">
        <f t="shared" si="27"/>
        <v>2.0758935032480568</v>
      </c>
      <c r="M37" s="6">
        <f t="shared" si="28"/>
        <v>29.79549119729457</v>
      </c>
      <c r="N37" s="6">
        <f t="shared" si="29"/>
        <v>83.905312499999994</v>
      </c>
      <c r="O37">
        <v>6</v>
      </c>
    </row>
    <row r="38" spans="1:17">
      <c r="A38" s="2" t="s">
        <v>109</v>
      </c>
      <c r="B38" s="13">
        <v>2.7989999999999999</v>
      </c>
      <c r="C38" s="13">
        <v>2.9205000000000001</v>
      </c>
      <c r="D38" s="13">
        <v>2.8388</v>
      </c>
      <c r="E38" s="13">
        <v>2.8997000000000002</v>
      </c>
      <c r="F38" s="13">
        <v>2.8107000000000002</v>
      </c>
      <c r="G38" s="13">
        <v>2.8347000000000002</v>
      </c>
      <c r="H38" s="13">
        <v>2.8050999999999999</v>
      </c>
      <c r="I38" s="14">
        <v>2.9386999999999999</v>
      </c>
      <c r="J38" s="7">
        <f t="shared" si="25"/>
        <v>2.8559000000000001</v>
      </c>
      <c r="K38" s="6">
        <f t="shared" si="26"/>
        <v>5.1902047165791054E-2</v>
      </c>
      <c r="L38" s="6">
        <f t="shared" si="27"/>
        <v>1.817362203361149</v>
      </c>
      <c r="M38" s="6">
        <f t="shared" si="28"/>
        <v>35.015231625757202</v>
      </c>
      <c r="N38" s="6">
        <f t="shared" si="29"/>
        <v>71.397500000000008</v>
      </c>
      <c r="O38">
        <v>6</v>
      </c>
    </row>
    <row r="39" spans="1:17">
      <c r="A39" s="2" t="s">
        <v>110</v>
      </c>
      <c r="B39" s="13">
        <v>3.0493000000000001</v>
      </c>
      <c r="C39" s="13">
        <v>3.089</v>
      </c>
      <c r="D39" s="13">
        <v>3.1959</v>
      </c>
      <c r="E39" s="13">
        <v>3.1501000000000001</v>
      </c>
      <c r="F39" s="13">
        <v>3.1558000000000002</v>
      </c>
      <c r="G39" s="13">
        <v>3.1368</v>
      </c>
      <c r="H39" s="13">
        <v>3.1631</v>
      </c>
      <c r="I39" s="14">
        <v>3.1347999999999998</v>
      </c>
      <c r="J39" s="7">
        <f t="shared" si="25"/>
        <v>3.13435</v>
      </c>
      <c r="K39" s="6">
        <f t="shared" si="26"/>
        <v>4.2748479505123907E-2</v>
      </c>
      <c r="L39" s="6">
        <f t="shared" si="27"/>
        <v>1.363870643199512</v>
      </c>
      <c r="M39" s="6">
        <f t="shared" si="28"/>
        <v>31.904541611498399</v>
      </c>
      <c r="N39" s="6">
        <f t="shared" si="29"/>
        <v>78.358750000000001</v>
      </c>
      <c r="O39">
        <v>6</v>
      </c>
    </row>
    <row r="40" spans="1:17">
      <c r="A40" s="2" t="s">
        <v>111</v>
      </c>
      <c r="B40" s="13">
        <v>3.0148000000000001</v>
      </c>
      <c r="C40" s="13">
        <v>2.9712000000000001</v>
      </c>
      <c r="D40" s="13">
        <v>2.9864000000000002</v>
      </c>
      <c r="E40" s="13">
        <v>2.9891000000000001</v>
      </c>
      <c r="F40" s="13">
        <v>3.0379999999999998</v>
      </c>
      <c r="G40" s="13">
        <v>3.0041000000000002</v>
      </c>
      <c r="H40" s="13">
        <v>3.0442</v>
      </c>
      <c r="I40" s="14">
        <v>3.0360999999999998</v>
      </c>
      <c r="J40" s="7">
        <f t="shared" si="25"/>
        <v>3.0104875000000004</v>
      </c>
      <c r="K40" s="6">
        <f t="shared" si="26"/>
        <v>2.5470592724748189E-2</v>
      </c>
      <c r="L40" s="6">
        <f t="shared" si="27"/>
        <v>0.84606206552088947</v>
      </c>
      <c r="M40" s="6">
        <f t="shared" si="28"/>
        <v>33.217211498137758</v>
      </c>
      <c r="N40" s="6">
        <f t="shared" si="29"/>
        <v>75.26218750000001</v>
      </c>
      <c r="O40">
        <v>6</v>
      </c>
    </row>
    <row r="41" spans="1:17">
      <c r="A41" s="2" t="s">
        <v>112</v>
      </c>
      <c r="B41" s="13">
        <v>2.4809000000000001</v>
      </c>
      <c r="C41" s="13">
        <v>2.5209999999999999</v>
      </c>
      <c r="D41" s="13">
        <v>2.4902000000000002</v>
      </c>
      <c r="E41" s="13">
        <v>2.4832000000000001</v>
      </c>
      <c r="F41" s="13">
        <v>2.4902000000000002</v>
      </c>
      <c r="G41" s="13">
        <v>2.6049000000000002</v>
      </c>
      <c r="H41" s="13">
        <v>2.5245000000000002</v>
      </c>
      <c r="I41" s="14">
        <v>2.4761000000000002</v>
      </c>
      <c r="J41" s="7">
        <f t="shared" si="25"/>
        <v>2.5088750000000002</v>
      </c>
      <c r="K41" s="6">
        <f t="shared" si="26"/>
        <v>4.0039784902019655E-2</v>
      </c>
      <c r="L41" s="6">
        <f t="shared" si="27"/>
        <v>1.5959258592803407</v>
      </c>
      <c r="M41" s="6">
        <f t="shared" si="28"/>
        <v>39.858502316775443</v>
      </c>
      <c r="N41" s="6">
        <f t="shared" si="29"/>
        <v>62.721875000000004</v>
      </c>
      <c r="O41">
        <v>6</v>
      </c>
    </row>
    <row r="42" spans="1:17">
      <c r="A42" s="194" t="s">
        <v>113</v>
      </c>
      <c r="B42" s="190">
        <v>1.7598</v>
      </c>
      <c r="C42" s="190">
        <v>1.7908999999999999</v>
      </c>
      <c r="D42" s="190">
        <v>1.7411000000000001</v>
      </c>
      <c r="E42" s="190">
        <v>1.7035</v>
      </c>
      <c r="F42" s="190">
        <v>1.6140000000000001</v>
      </c>
      <c r="G42" s="190">
        <v>1.7965</v>
      </c>
      <c r="H42" s="190">
        <v>1.6292</v>
      </c>
      <c r="I42" s="191">
        <v>1.7050000000000001</v>
      </c>
      <c r="J42" s="192">
        <f t="shared" si="25"/>
        <v>1.7175</v>
      </c>
      <c r="K42" s="193">
        <f t="shared" si="26"/>
        <v>6.4066566944077752E-2</v>
      </c>
      <c r="L42" s="193">
        <f t="shared" si="27"/>
        <v>3.7302222383742505</v>
      </c>
      <c r="M42" s="193">
        <f t="shared" si="28"/>
        <v>58.224163027656473</v>
      </c>
      <c r="N42" s="193">
        <f t="shared" si="29"/>
        <v>42.9375</v>
      </c>
      <c r="O42">
        <v>6</v>
      </c>
    </row>
    <row r="43" spans="1:17" ht="15.75" thickBot="1">
      <c r="A43" s="2"/>
      <c r="B43" s="6"/>
      <c r="C43" s="6"/>
      <c r="D43" s="6"/>
      <c r="E43" s="6"/>
      <c r="F43" s="6"/>
      <c r="G43" s="6"/>
      <c r="H43" s="6"/>
      <c r="I43" s="18"/>
      <c r="J43" s="18"/>
      <c r="K43" s="18"/>
      <c r="L43" s="18"/>
      <c r="M43" s="18"/>
      <c r="N43" s="18"/>
      <c r="O43" s="19"/>
    </row>
    <row r="44" spans="1:17" ht="15.75" thickTop="1">
      <c r="A44" s="2"/>
      <c r="I44" s="2" t="s">
        <v>119</v>
      </c>
      <c r="J44" s="16">
        <f>AVERAGE(J2:J42)</f>
        <v>2.8676753048780492</v>
      </c>
      <c r="K44" s="16"/>
      <c r="L44" s="16"/>
      <c r="M44" s="16">
        <f>AVERAGE(M2:M42)</f>
        <v>37.213793560673054</v>
      </c>
      <c r="N44" s="16">
        <f>AVERAGE(N2:N42)</f>
        <v>71.691882621951208</v>
      </c>
      <c r="O44" s="2"/>
      <c r="P44" s="2">
        <f>M44*28.35</f>
        <v>1055.0110474450812</v>
      </c>
      <c r="Q44" s="2" t="s">
        <v>114</v>
      </c>
    </row>
    <row r="45" spans="1:17">
      <c r="A45" s="2"/>
      <c r="J45" s="16"/>
      <c r="K45" s="16"/>
      <c r="L45" s="17" t="s">
        <v>89</v>
      </c>
      <c r="M45" s="16" t="s">
        <v>88</v>
      </c>
      <c r="N45" s="16"/>
      <c r="O45" s="2"/>
      <c r="P45" s="2" t="s">
        <v>115</v>
      </c>
      <c r="Q45" s="2" t="s">
        <v>114</v>
      </c>
    </row>
    <row r="46" spans="1:17">
      <c r="A46" s="2"/>
      <c r="J46" s="6"/>
      <c r="K46" s="6"/>
      <c r="L46" s="6"/>
      <c r="M46" s="6"/>
      <c r="N46" s="6"/>
    </row>
    <row r="47" spans="1:17">
      <c r="J47" s="6"/>
      <c r="K47" s="6"/>
      <c r="L47" s="6"/>
      <c r="M47" s="6"/>
    </row>
    <row r="48" spans="1:17">
      <c r="J48" s="6"/>
      <c r="K48" s="6"/>
      <c r="L48" s="6"/>
      <c r="M48" s="6"/>
      <c r="N48" s="6"/>
    </row>
    <row r="49" spans="1:15">
      <c r="B49" s="2">
        <v>1</v>
      </c>
      <c r="C49" s="2">
        <v>2</v>
      </c>
      <c r="D49" s="2">
        <v>3</v>
      </c>
      <c r="E49" s="2">
        <v>4</v>
      </c>
      <c r="F49" s="2">
        <v>5</v>
      </c>
      <c r="G49" s="2">
        <v>6</v>
      </c>
      <c r="H49" s="2">
        <v>7</v>
      </c>
      <c r="I49" s="12">
        <v>8</v>
      </c>
      <c r="J49" s="11" t="s">
        <v>80</v>
      </c>
      <c r="K49" s="3" t="s">
        <v>81</v>
      </c>
      <c r="L49" s="3" t="s">
        <v>82</v>
      </c>
      <c r="M49" s="3" t="s">
        <v>83</v>
      </c>
      <c r="N49" s="3" t="s">
        <v>84</v>
      </c>
      <c r="O49" s="3" t="s">
        <v>85</v>
      </c>
    </row>
    <row r="50" spans="1:15">
      <c r="A50" s="2" t="s">
        <v>11</v>
      </c>
      <c r="B50" s="6">
        <v>2.3199999999999998</v>
      </c>
      <c r="C50" s="6">
        <v>2.3090000000000002</v>
      </c>
      <c r="D50" s="6">
        <v>2.371</v>
      </c>
      <c r="E50" s="6">
        <v>2.3010000000000002</v>
      </c>
      <c r="F50" s="6">
        <v>2.3580000000000001</v>
      </c>
      <c r="G50" s="6">
        <v>2.3410000000000002</v>
      </c>
      <c r="H50" s="6">
        <v>2.3839999999999999</v>
      </c>
      <c r="I50" s="9">
        <v>2.359</v>
      </c>
      <c r="J50" s="7">
        <f t="shared" si="3"/>
        <v>2.3428750000000003</v>
      </c>
      <c r="K50" s="6">
        <f t="shared" ref="K50:K65" si="30">_xlfn.STDEV.P(B50:I50)</f>
        <v>2.8281785215930007E-2</v>
      </c>
      <c r="L50" s="6">
        <f t="shared" si="4"/>
        <v>1.2071401682091447</v>
      </c>
      <c r="M50" s="6">
        <f>100/J50</f>
        <v>42.682601504561696</v>
      </c>
      <c r="N50" s="6">
        <f t="shared" si="2"/>
        <v>58.571875000000006</v>
      </c>
      <c r="O50">
        <v>1</v>
      </c>
    </row>
    <row r="51" spans="1:15">
      <c r="A51" s="2" t="s">
        <v>14</v>
      </c>
      <c r="B51" s="6">
        <v>2.63</v>
      </c>
      <c r="C51" s="6">
        <v>2.7109999999999999</v>
      </c>
      <c r="D51" s="6">
        <v>2.65</v>
      </c>
      <c r="E51" s="6">
        <v>2.593</v>
      </c>
      <c r="F51" s="6">
        <v>2.65</v>
      </c>
      <c r="G51" s="6">
        <v>2.7330000000000001</v>
      </c>
      <c r="H51" s="6">
        <v>2.6360000000000001</v>
      </c>
      <c r="I51" s="9">
        <v>2.633</v>
      </c>
      <c r="J51" s="7">
        <f t="shared" si="3"/>
        <v>2.6545000000000001</v>
      </c>
      <c r="K51" s="6">
        <f t="shared" si="30"/>
        <v>4.2693676346737819E-2</v>
      </c>
      <c r="L51" s="6">
        <f t="shared" si="4"/>
        <v>1.6083509642771827</v>
      </c>
      <c r="M51" s="6">
        <f t="shared" si="1"/>
        <v>37.671877943115462</v>
      </c>
      <c r="N51" s="6">
        <f t="shared" si="2"/>
        <v>66.362499999999997</v>
      </c>
      <c r="O51">
        <v>1</v>
      </c>
    </row>
    <row r="52" spans="1:15">
      <c r="A52" s="2" t="s">
        <v>19</v>
      </c>
      <c r="B52" s="6">
        <v>3.0680000000000001</v>
      </c>
      <c r="C52" s="6">
        <v>2.9359999999999999</v>
      </c>
      <c r="D52" s="6">
        <v>2.8839999999999999</v>
      </c>
      <c r="E52" s="6">
        <v>2.903</v>
      </c>
      <c r="F52" s="6">
        <v>2.944</v>
      </c>
      <c r="G52" s="6">
        <v>3.0009999999999999</v>
      </c>
      <c r="H52" s="6">
        <v>2.9940000000000002</v>
      </c>
      <c r="I52" s="9">
        <v>2.9990000000000001</v>
      </c>
      <c r="J52" s="7">
        <f t="shared" si="3"/>
        <v>2.9661249999999999</v>
      </c>
      <c r="K52" s="6">
        <f t="shared" si="30"/>
        <v>5.6545197629860718E-2</v>
      </c>
      <c r="L52" s="6">
        <f t="shared" si="4"/>
        <v>1.9063659700741107</v>
      </c>
      <c r="M52" s="6">
        <f t="shared" si="1"/>
        <v>33.714020818407853</v>
      </c>
      <c r="N52" s="6">
        <f t="shared" si="2"/>
        <v>74.153125000000003</v>
      </c>
      <c r="O52">
        <v>1</v>
      </c>
    </row>
    <row r="53" spans="1:15">
      <c r="A53" s="2" t="s">
        <v>21</v>
      </c>
      <c r="B53" s="6">
        <v>3.242</v>
      </c>
      <c r="C53" s="6">
        <v>3.2829999999999999</v>
      </c>
      <c r="D53" s="6">
        <v>3.306</v>
      </c>
      <c r="E53" s="6">
        <v>3.161</v>
      </c>
      <c r="F53" s="6">
        <v>3.1819999999999999</v>
      </c>
      <c r="G53" s="6">
        <v>3.2280000000000002</v>
      </c>
      <c r="H53" s="6">
        <v>3.2010000000000001</v>
      </c>
      <c r="I53" s="9">
        <v>3.0680000000000001</v>
      </c>
      <c r="J53" s="7">
        <f t="shared" si="3"/>
        <v>3.2088750000000004</v>
      </c>
      <c r="K53" s="6">
        <f t="shared" si="30"/>
        <v>7.0100708805261008E-2</v>
      </c>
      <c r="L53" s="6">
        <f t="shared" si="4"/>
        <v>2.1845883309652447</v>
      </c>
      <c r="M53" s="6">
        <f t="shared" si="1"/>
        <v>31.163569786919087</v>
      </c>
      <c r="N53" s="6">
        <f t="shared" si="2"/>
        <v>80.221875000000011</v>
      </c>
      <c r="O53">
        <v>1</v>
      </c>
    </row>
    <row r="54" spans="1:15">
      <c r="A54" s="2" t="s">
        <v>23</v>
      </c>
      <c r="B54" s="6">
        <v>2.847</v>
      </c>
      <c r="C54" s="6">
        <v>2.8660000000000001</v>
      </c>
      <c r="D54" s="6">
        <v>2.8330000000000002</v>
      </c>
      <c r="E54" s="6">
        <v>2.9239999999999999</v>
      </c>
      <c r="F54" s="6">
        <v>2.9239999999999999</v>
      </c>
      <c r="G54" s="6">
        <v>2.9849999999999999</v>
      </c>
      <c r="H54" s="6">
        <v>2.8620000000000001</v>
      </c>
      <c r="I54" s="9">
        <v>2.8340000000000001</v>
      </c>
      <c r="J54" s="7">
        <f t="shared" si="3"/>
        <v>2.8843749999999999</v>
      </c>
      <c r="K54" s="6">
        <f t="shared" si="30"/>
        <v>5.0840282994884987E-2</v>
      </c>
      <c r="L54" s="6">
        <f t="shared" si="4"/>
        <v>1.762610027991679</v>
      </c>
      <c r="M54" s="6">
        <f t="shared" si="1"/>
        <v>34.669555796316359</v>
      </c>
      <c r="N54" s="6">
        <f t="shared" si="2"/>
        <v>72.109375</v>
      </c>
      <c r="O54">
        <v>1</v>
      </c>
    </row>
    <row r="55" spans="1:15">
      <c r="A55" s="2" t="s">
        <v>26</v>
      </c>
      <c r="B55" s="6">
        <v>2.403</v>
      </c>
      <c r="C55" s="6">
        <v>2.3879999999999999</v>
      </c>
      <c r="D55" s="6">
        <v>2.4169999999999998</v>
      </c>
      <c r="E55" s="6">
        <v>2.302</v>
      </c>
      <c r="F55" s="6">
        <v>2.3530000000000002</v>
      </c>
      <c r="G55" s="6">
        <v>2.25</v>
      </c>
      <c r="H55" s="6">
        <v>2.2360000000000002</v>
      </c>
      <c r="I55" s="9">
        <v>2.2959999999999998</v>
      </c>
      <c r="J55" s="7">
        <f>AVERAGE(B55:I55)</f>
        <v>2.3306249999999999</v>
      </c>
      <c r="K55" s="6">
        <f t="shared" si="30"/>
        <v>6.5157381584897908E-2</v>
      </c>
      <c r="L55" s="6">
        <f>K55/J55*100</f>
        <v>2.79570422461348</v>
      </c>
      <c r="M55" s="6">
        <f t="shared" si="1"/>
        <v>42.906945561812819</v>
      </c>
      <c r="N55" s="6">
        <f t="shared" si="2"/>
        <v>58.265625</v>
      </c>
      <c r="O55">
        <v>1</v>
      </c>
    </row>
    <row r="56" spans="1:15">
      <c r="A56" s="2" t="s">
        <v>28</v>
      </c>
      <c r="B56" s="6">
        <v>2.1760000000000002</v>
      </c>
      <c r="C56" s="6">
        <v>2.2120000000000002</v>
      </c>
      <c r="D56" s="6">
        <v>2.2370000000000001</v>
      </c>
      <c r="E56" s="6">
        <v>2.1890000000000001</v>
      </c>
      <c r="F56" s="6">
        <v>2.1970000000000001</v>
      </c>
      <c r="G56" s="6">
        <v>2.1459999999999999</v>
      </c>
      <c r="H56" s="6">
        <v>2.222</v>
      </c>
      <c r="I56" s="9">
        <v>2.2050000000000001</v>
      </c>
      <c r="J56" s="7">
        <f>AVERAGE(B56:I56)</f>
        <v>2.198</v>
      </c>
      <c r="K56" s="6">
        <f t="shared" si="30"/>
        <v>2.6485845276298089E-2</v>
      </c>
      <c r="L56" s="6">
        <f>K56/J56*100</f>
        <v>1.2049975102956365</v>
      </c>
      <c r="M56" s="6">
        <f t="shared" si="1"/>
        <v>45.495905368516837</v>
      </c>
      <c r="N56" s="6">
        <f t="shared" si="2"/>
        <v>54.949999999999996</v>
      </c>
      <c r="O56">
        <v>1</v>
      </c>
    </row>
    <row r="57" spans="1:15">
      <c r="A57" s="2" t="s">
        <v>30</v>
      </c>
      <c r="B57" s="6">
        <v>2.2850000000000001</v>
      </c>
      <c r="C57" s="6">
        <v>2.242</v>
      </c>
      <c r="D57" s="6">
        <v>2.2610000000000001</v>
      </c>
      <c r="E57" s="6">
        <v>2.3119999999999998</v>
      </c>
      <c r="F57" s="6">
        <v>2.2589999999999999</v>
      </c>
      <c r="G57" s="6">
        <v>2.306</v>
      </c>
      <c r="H57" s="6">
        <v>2.2770000000000001</v>
      </c>
      <c r="I57" s="9">
        <v>2.2080000000000002</v>
      </c>
      <c r="J57" s="7">
        <f t="shared" ref="J57:J65" si="31">AVERAGE(B57:I57)</f>
        <v>2.2687499999999998</v>
      </c>
      <c r="K57" s="6">
        <f t="shared" si="30"/>
        <v>3.1920800428560638E-2</v>
      </c>
      <c r="L57" s="6">
        <f t="shared" ref="L57:L65" si="32">K57/J57*100</f>
        <v>1.4069774293580446</v>
      </c>
      <c r="M57" s="6">
        <f t="shared" si="1"/>
        <v>44.0771349862259</v>
      </c>
      <c r="N57" s="6">
        <f t="shared" si="2"/>
        <v>56.718749999999993</v>
      </c>
      <c r="O57">
        <v>1</v>
      </c>
    </row>
    <row r="58" spans="1:15">
      <c r="A58" s="2" t="s">
        <v>32</v>
      </c>
      <c r="B58" s="6">
        <v>2.907</v>
      </c>
      <c r="C58" s="6">
        <v>2.9409999999999998</v>
      </c>
      <c r="D58" s="6">
        <v>2.923</v>
      </c>
      <c r="E58" s="6">
        <v>3.0179999999999998</v>
      </c>
      <c r="F58" s="6">
        <v>2.9980000000000002</v>
      </c>
      <c r="G58" s="6">
        <v>3.0019999999999998</v>
      </c>
      <c r="H58" s="6">
        <v>2.8730000000000002</v>
      </c>
      <c r="I58" s="9">
        <v>2.9510000000000001</v>
      </c>
      <c r="J58" s="7">
        <f t="shared" si="31"/>
        <v>2.9516250000000004</v>
      </c>
      <c r="K58" s="6">
        <f t="shared" si="30"/>
        <v>4.7696796276060216E-2</v>
      </c>
      <c r="L58" s="6">
        <f t="shared" si="32"/>
        <v>1.615950409556099</v>
      </c>
      <c r="M58" s="6">
        <f t="shared" si="1"/>
        <v>33.879642569770887</v>
      </c>
      <c r="N58" s="6">
        <f t="shared" si="2"/>
        <v>73.790625000000006</v>
      </c>
      <c r="O58">
        <v>1</v>
      </c>
    </row>
    <row r="59" spans="1:15">
      <c r="A59" s="2" t="s">
        <v>35</v>
      </c>
      <c r="B59" s="6">
        <v>2.69</v>
      </c>
      <c r="C59" s="6">
        <v>2.6920000000000002</v>
      </c>
      <c r="D59" s="6">
        <v>2.8420000000000001</v>
      </c>
      <c r="E59" s="6">
        <v>2.7810000000000001</v>
      </c>
      <c r="F59" s="6">
        <v>2.7280000000000002</v>
      </c>
      <c r="G59" s="6">
        <v>2.7</v>
      </c>
      <c r="H59" s="6">
        <v>2.7679999999999998</v>
      </c>
      <c r="I59" s="9">
        <v>2.698</v>
      </c>
      <c r="J59" s="7">
        <f t="shared" si="31"/>
        <v>2.7373750000000001</v>
      </c>
      <c r="K59" s="6">
        <f t="shared" si="30"/>
        <v>5.1388076194774979E-2</v>
      </c>
      <c r="L59" s="6">
        <f t="shared" si="32"/>
        <v>1.8772757183350828</v>
      </c>
      <c r="M59" s="6">
        <f t="shared" si="1"/>
        <v>36.531348463400157</v>
      </c>
      <c r="N59" s="6">
        <f t="shared" si="2"/>
        <v>68.434375000000003</v>
      </c>
      <c r="O59">
        <v>1</v>
      </c>
    </row>
    <row r="60" spans="1:15">
      <c r="A60" s="2" t="s">
        <v>37</v>
      </c>
      <c r="B60" s="6">
        <v>2.9129999999999998</v>
      </c>
      <c r="C60" s="6">
        <v>2.9039999999999999</v>
      </c>
      <c r="D60" s="6">
        <v>2.8639999999999999</v>
      </c>
      <c r="E60" s="6">
        <v>2.8639999999999999</v>
      </c>
      <c r="F60" s="6">
        <v>2.8889999999999998</v>
      </c>
      <c r="G60" s="6">
        <v>2.92</v>
      </c>
      <c r="H60" s="6">
        <v>2.9260000000000002</v>
      </c>
      <c r="I60" s="9">
        <v>2.9580000000000002</v>
      </c>
      <c r="J60" s="7">
        <f t="shared" si="31"/>
        <v>2.9047499999999999</v>
      </c>
      <c r="K60" s="6">
        <f t="shared" si="30"/>
        <v>2.9911327285829459E-2</v>
      </c>
      <c r="L60" s="6">
        <f t="shared" si="32"/>
        <v>1.0297384382762529</v>
      </c>
      <c r="M60" s="6">
        <f t="shared" si="1"/>
        <v>34.426370599879512</v>
      </c>
      <c r="N60" s="6">
        <f t="shared" si="2"/>
        <v>72.618750000000006</v>
      </c>
      <c r="O60">
        <v>1</v>
      </c>
    </row>
    <row r="61" spans="1:15">
      <c r="A61" s="2" t="s">
        <v>39</v>
      </c>
      <c r="B61" s="6">
        <v>2.6850000000000001</v>
      </c>
      <c r="C61" s="6">
        <v>2.84</v>
      </c>
      <c r="D61" s="6">
        <v>2.6859999999999999</v>
      </c>
      <c r="E61" s="6">
        <v>2.7330000000000001</v>
      </c>
      <c r="F61" s="6">
        <v>2.8809999999999998</v>
      </c>
      <c r="G61" s="6">
        <v>2.7730000000000001</v>
      </c>
      <c r="H61" s="6">
        <v>2.8460000000000001</v>
      </c>
      <c r="I61" s="9">
        <v>2.8029999999999999</v>
      </c>
      <c r="J61" s="7">
        <f t="shared" si="31"/>
        <v>2.7808750000000004</v>
      </c>
      <c r="K61" s="6">
        <f t="shared" si="30"/>
        <v>6.9640931749941362E-2</v>
      </c>
      <c r="L61" s="6">
        <f t="shared" si="32"/>
        <v>2.5042812693825272</v>
      </c>
      <c r="M61" s="6">
        <f t="shared" si="1"/>
        <v>35.959904706252523</v>
      </c>
      <c r="N61" s="6">
        <f t="shared" si="2"/>
        <v>69.521875000000009</v>
      </c>
      <c r="O61">
        <v>1</v>
      </c>
    </row>
    <row r="62" spans="1:15">
      <c r="A62" s="2" t="s">
        <v>41</v>
      </c>
      <c r="B62" s="6">
        <v>3.331</v>
      </c>
      <c r="C62" s="6">
        <v>3.2639999999999998</v>
      </c>
      <c r="D62" s="6">
        <v>3.2109999999999999</v>
      </c>
      <c r="E62" s="6">
        <v>3.1760000000000002</v>
      </c>
      <c r="F62" s="6">
        <v>3.2829999999999999</v>
      </c>
      <c r="G62" s="6">
        <v>3.226</v>
      </c>
      <c r="H62" s="6">
        <v>3.16</v>
      </c>
      <c r="I62" s="9">
        <v>3.153</v>
      </c>
      <c r="J62" s="7">
        <f t="shared" si="31"/>
        <v>3.2254999999999998</v>
      </c>
      <c r="K62" s="6">
        <f t="shared" si="30"/>
        <v>5.9293760211340883E-2</v>
      </c>
      <c r="L62" s="6">
        <f t="shared" si="32"/>
        <v>1.8382812032658777</v>
      </c>
      <c r="M62" s="6">
        <f t="shared" si="1"/>
        <v>31.002945279801583</v>
      </c>
      <c r="N62" s="6">
        <f t="shared" si="2"/>
        <v>80.637499999999989</v>
      </c>
      <c r="O62">
        <v>1</v>
      </c>
    </row>
    <row r="63" spans="1:15">
      <c r="A63" s="2" t="s">
        <v>43</v>
      </c>
      <c r="B63" s="6">
        <v>2.6440000000000001</v>
      </c>
      <c r="C63" s="6">
        <v>2.5739999999999998</v>
      </c>
      <c r="D63" s="6">
        <v>2.625</v>
      </c>
      <c r="E63" s="6">
        <v>2.5640000000000001</v>
      </c>
      <c r="F63" s="6">
        <v>2.5169999999999999</v>
      </c>
      <c r="G63" s="6">
        <v>2.5430000000000001</v>
      </c>
      <c r="H63" s="6">
        <v>2.57</v>
      </c>
      <c r="I63" s="9">
        <v>2.613</v>
      </c>
      <c r="J63" s="7">
        <f t="shared" si="31"/>
        <v>2.5812499999999998</v>
      </c>
      <c r="K63" s="6">
        <f t="shared" si="30"/>
        <v>4.0198725104162225E-2</v>
      </c>
      <c r="L63" s="6">
        <f t="shared" si="32"/>
        <v>1.5573355972556797</v>
      </c>
      <c r="M63" s="6">
        <f t="shared" si="1"/>
        <v>38.7409200968523</v>
      </c>
      <c r="N63" s="6">
        <f t="shared" si="2"/>
        <v>64.53125</v>
      </c>
      <c r="O63">
        <v>2</v>
      </c>
    </row>
    <row r="64" spans="1:15">
      <c r="A64" s="2" t="s">
        <v>46</v>
      </c>
      <c r="B64" s="6">
        <v>2.3220000000000001</v>
      </c>
      <c r="C64" s="6">
        <v>2.3050000000000002</v>
      </c>
      <c r="D64" s="6">
        <v>2.3130000000000002</v>
      </c>
      <c r="E64" s="6">
        <v>2.3420000000000001</v>
      </c>
      <c r="F64" s="6">
        <v>2.2959999999999998</v>
      </c>
      <c r="G64" s="6">
        <v>2.3069999999999999</v>
      </c>
      <c r="H64" s="6">
        <v>2.298</v>
      </c>
      <c r="I64" s="9">
        <v>2.2810000000000001</v>
      </c>
      <c r="J64" s="7">
        <f t="shared" si="31"/>
        <v>2.3079999999999998</v>
      </c>
      <c r="K64" s="6">
        <f t="shared" si="30"/>
        <v>1.7175564037317684E-2</v>
      </c>
      <c r="L64" s="6">
        <f t="shared" si="32"/>
        <v>0.74417521825466582</v>
      </c>
      <c r="M64" s="6">
        <f t="shared" si="1"/>
        <v>43.327556325823224</v>
      </c>
      <c r="N64" s="6">
        <f t="shared" si="2"/>
        <v>57.699999999999996</v>
      </c>
      <c r="O64">
        <v>2</v>
      </c>
    </row>
    <row r="65" spans="1:15">
      <c r="A65" s="2" t="s">
        <v>48</v>
      </c>
      <c r="B65" s="6">
        <v>2.8340000000000001</v>
      </c>
      <c r="C65" s="6">
        <v>2.8220000000000001</v>
      </c>
      <c r="D65" s="6">
        <v>2.8149999999999999</v>
      </c>
      <c r="E65" s="6">
        <v>2.819</v>
      </c>
      <c r="F65" s="6">
        <v>2.7639999999999998</v>
      </c>
      <c r="G65" s="6">
        <v>2.8039999999999998</v>
      </c>
      <c r="H65" s="6">
        <v>2.8140000000000001</v>
      </c>
      <c r="I65" s="9">
        <v>2.8090000000000002</v>
      </c>
      <c r="J65" s="7">
        <f t="shared" si="31"/>
        <v>2.8101249999999998</v>
      </c>
      <c r="K65" s="6">
        <f t="shared" si="30"/>
        <v>1.934836879429383E-2</v>
      </c>
      <c r="L65" s="6">
        <f t="shared" si="32"/>
        <v>0.6885234213529231</v>
      </c>
      <c r="M65" s="6">
        <f t="shared" si="1"/>
        <v>35.585605622525691</v>
      </c>
      <c r="N65" s="6">
        <f t="shared" si="2"/>
        <v>70.253124999999997</v>
      </c>
      <c r="O65">
        <v>2</v>
      </c>
    </row>
    <row r="66" spans="1:15">
      <c r="A66" s="2" t="s">
        <v>50</v>
      </c>
      <c r="B66" s="6">
        <v>1.8740000000000001</v>
      </c>
      <c r="C66" s="6">
        <v>1.9279999999999999</v>
      </c>
      <c r="D66" s="6">
        <v>1.9079999999999999</v>
      </c>
      <c r="E66" s="6">
        <v>1.825</v>
      </c>
      <c r="F66" s="6">
        <v>1.885</v>
      </c>
      <c r="G66" s="6">
        <v>1.83</v>
      </c>
      <c r="H66" s="6">
        <v>1.8660000000000001</v>
      </c>
      <c r="I66" s="9">
        <v>1.865</v>
      </c>
      <c r="J66" s="7">
        <f t="shared" ref="J66:J80" si="33">AVERAGE(B66:I66)</f>
        <v>1.872625</v>
      </c>
      <c r="K66" s="6">
        <f t="shared" ref="K66:K80" si="34">_xlfn.STDEV.P(B66:I66)</f>
        <v>3.2901130299732836E-2</v>
      </c>
      <c r="L66" s="6">
        <f t="shared" ref="L66:L80" si="35">K66/J66*100</f>
        <v>1.7569524223874422</v>
      </c>
      <c r="M66" s="6">
        <f t="shared" ref="M66:M80" si="36">100/J66</f>
        <v>53.400974567785866</v>
      </c>
      <c r="N66" s="6">
        <f t="shared" ref="N66:N80" si="37">J66*25</f>
        <v>46.815624999999997</v>
      </c>
      <c r="O66">
        <v>4</v>
      </c>
    </row>
    <row r="67" spans="1:15">
      <c r="A67" s="2" t="s">
        <v>52</v>
      </c>
      <c r="B67" s="6">
        <v>3.431</v>
      </c>
      <c r="C67" s="6">
        <v>3.3759999999999999</v>
      </c>
      <c r="D67" s="6">
        <v>3.4049999999999998</v>
      </c>
      <c r="E67" s="6">
        <v>3.43</v>
      </c>
      <c r="F67" s="6">
        <v>3.343</v>
      </c>
      <c r="G67" s="6">
        <v>3.3279999999999998</v>
      </c>
      <c r="H67" s="6">
        <v>3.331</v>
      </c>
      <c r="I67" s="9">
        <v>3.387</v>
      </c>
      <c r="J67" s="7">
        <f t="shared" si="33"/>
        <v>3.3788749999999999</v>
      </c>
      <c r="K67" s="6">
        <f t="shared" si="34"/>
        <v>3.9138975139878206E-2</v>
      </c>
      <c r="L67" s="6">
        <f t="shared" si="35"/>
        <v>1.1583433876624087</v>
      </c>
      <c r="M67" s="6">
        <f t="shared" si="36"/>
        <v>29.595649439532391</v>
      </c>
      <c r="N67" s="6">
        <f t="shared" si="37"/>
        <v>84.471874999999997</v>
      </c>
      <c r="O67">
        <v>4</v>
      </c>
    </row>
    <row r="68" spans="1:15">
      <c r="A68" s="2" t="s">
        <v>55</v>
      </c>
      <c r="B68" s="6">
        <v>2.27</v>
      </c>
      <c r="C68" s="6">
        <v>2.1779999999999999</v>
      </c>
      <c r="D68" s="6">
        <v>2.1909999999999998</v>
      </c>
      <c r="E68" s="6">
        <v>2.2290000000000001</v>
      </c>
      <c r="F68" s="6">
        <v>2.238</v>
      </c>
      <c r="G68" s="6">
        <v>2.2130000000000001</v>
      </c>
      <c r="H68" s="6">
        <v>2.2170000000000001</v>
      </c>
      <c r="I68" s="9">
        <v>2.2690000000000001</v>
      </c>
      <c r="J68" s="7">
        <f t="shared" si="33"/>
        <v>2.225625</v>
      </c>
      <c r="K68" s="6">
        <f t="shared" si="34"/>
        <v>3.105614874706784E-2</v>
      </c>
      <c r="L68" s="6">
        <f t="shared" si="35"/>
        <v>1.3953900026764545</v>
      </c>
      <c r="M68" s="6">
        <f t="shared" si="36"/>
        <v>44.931199101376016</v>
      </c>
      <c r="N68" s="6">
        <f t="shared" si="37"/>
        <v>55.640625</v>
      </c>
      <c r="O68">
        <v>4</v>
      </c>
    </row>
    <row r="69" spans="1:15">
      <c r="A69" s="2" t="s">
        <v>57</v>
      </c>
      <c r="B69" s="6">
        <v>2.06</v>
      </c>
      <c r="C69" s="6">
        <v>2.1040000000000001</v>
      </c>
      <c r="D69" s="6">
        <v>2.0470000000000002</v>
      </c>
      <c r="E69" s="6">
        <v>2.093</v>
      </c>
      <c r="F69" s="6">
        <v>2.0499999999999998</v>
      </c>
      <c r="G69" s="6">
        <v>1.9630000000000001</v>
      </c>
      <c r="H69" s="6">
        <v>2.0339999999999998</v>
      </c>
      <c r="I69" s="9">
        <v>2.0870000000000002</v>
      </c>
      <c r="J69" s="7">
        <f t="shared" si="33"/>
        <v>2.0547499999999999</v>
      </c>
      <c r="K69" s="6">
        <f t="shared" si="34"/>
        <v>4.1664583281247412E-2</v>
      </c>
      <c r="L69" s="6">
        <f t="shared" si="35"/>
        <v>2.0277203202943137</v>
      </c>
      <c r="M69" s="6">
        <f t="shared" si="36"/>
        <v>48.667721133957905</v>
      </c>
      <c r="N69" s="6">
        <f t="shared" si="37"/>
        <v>51.368749999999999</v>
      </c>
      <c r="O69">
        <v>4</v>
      </c>
    </row>
    <row r="70" spans="1:15">
      <c r="A70" s="2" t="s">
        <v>61</v>
      </c>
      <c r="B70" s="6">
        <v>2.984</v>
      </c>
      <c r="C70" s="6">
        <v>2.9020000000000001</v>
      </c>
      <c r="D70" s="6">
        <v>2.8759999999999999</v>
      </c>
      <c r="E70" s="6">
        <v>2.8490000000000002</v>
      </c>
      <c r="F70" s="6">
        <v>2.8420000000000001</v>
      </c>
      <c r="G70" s="6">
        <v>2.851</v>
      </c>
      <c r="H70" s="6">
        <v>2.8420000000000001</v>
      </c>
      <c r="I70" s="9">
        <v>2.8780000000000001</v>
      </c>
      <c r="J70" s="7">
        <f t="shared" si="33"/>
        <v>2.8780000000000001</v>
      </c>
      <c r="K70" s="6">
        <f t="shared" si="34"/>
        <v>4.4690603039117718E-2</v>
      </c>
      <c r="L70" s="6">
        <f t="shared" si="35"/>
        <v>1.5528354078915121</v>
      </c>
      <c r="M70" s="6">
        <f t="shared" si="36"/>
        <v>34.746351633078525</v>
      </c>
      <c r="N70" s="6">
        <f t="shared" si="37"/>
        <v>71.95</v>
      </c>
      <c r="O70">
        <v>4</v>
      </c>
    </row>
    <row r="71" spans="1:15" ht="15.75" thickBot="1">
      <c r="A71" s="15" t="s">
        <v>65</v>
      </c>
      <c r="B71" s="6">
        <v>2.339</v>
      </c>
      <c r="C71" s="6">
        <v>2.2650000000000001</v>
      </c>
      <c r="D71" s="6">
        <v>2.2719999999999998</v>
      </c>
      <c r="E71" s="6">
        <v>2.3340000000000001</v>
      </c>
      <c r="F71" s="6">
        <v>2.3220000000000001</v>
      </c>
      <c r="G71" s="6">
        <v>2.302</v>
      </c>
      <c r="H71" s="6">
        <v>2.36</v>
      </c>
      <c r="I71" s="9">
        <v>2.3170000000000002</v>
      </c>
      <c r="J71" s="7">
        <f t="shared" si="33"/>
        <v>2.3138749999999999</v>
      </c>
      <c r="K71" s="6">
        <f t="shared" si="34"/>
        <v>3.0665279633487762E-2</v>
      </c>
      <c r="L71" s="6">
        <f t="shared" si="35"/>
        <v>1.3252781430927669</v>
      </c>
      <c r="M71" s="6">
        <f t="shared" si="36"/>
        <v>43.217546323807468</v>
      </c>
      <c r="N71" s="6">
        <f t="shared" si="37"/>
        <v>57.846874999999997</v>
      </c>
      <c r="O71">
        <v>4</v>
      </c>
    </row>
    <row r="72" spans="1:15" ht="15.75" thickTop="1">
      <c r="A72" s="2" t="s">
        <v>67</v>
      </c>
      <c r="B72" s="6">
        <v>2.35</v>
      </c>
      <c r="C72" s="6">
        <v>2.36</v>
      </c>
      <c r="D72" s="6">
        <v>2.3519999999999999</v>
      </c>
      <c r="E72" s="6">
        <v>2.3479999999999999</v>
      </c>
      <c r="F72" s="6">
        <v>2.3479999999999999</v>
      </c>
      <c r="G72" s="6">
        <v>2.3290000000000002</v>
      </c>
      <c r="H72" s="6">
        <v>2.2989999999999999</v>
      </c>
      <c r="I72" s="9">
        <v>2.3069999999999999</v>
      </c>
      <c r="J72" s="7">
        <f t="shared" si="33"/>
        <v>2.3366249999999997</v>
      </c>
      <c r="K72" s="6">
        <f t="shared" si="34"/>
        <v>2.1130176880471186E-2</v>
      </c>
      <c r="L72" s="6">
        <f t="shared" si="35"/>
        <v>0.90430329558535016</v>
      </c>
      <c r="M72" s="6">
        <f t="shared" si="36"/>
        <v>42.796768843952286</v>
      </c>
      <c r="N72" s="6">
        <f t="shared" si="37"/>
        <v>58.415624999999991</v>
      </c>
      <c r="O72">
        <v>4</v>
      </c>
    </row>
    <row r="73" spans="1:15">
      <c r="A73" s="2" t="s">
        <v>70</v>
      </c>
      <c r="B73" s="6">
        <v>1.9419999999999999</v>
      </c>
      <c r="C73" s="6">
        <v>1.877</v>
      </c>
      <c r="D73" s="6">
        <v>1.92</v>
      </c>
      <c r="E73" s="6">
        <v>1.88</v>
      </c>
      <c r="F73" s="6">
        <v>1.8839999999999999</v>
      </c>
      <c r="G73" s="6">
        <v>1.9019999999999999</v>
      </c>
      <c r="H73" s="6">
        <v>1.837</v>
      </c>
      <c r="I73" s="9">
        <v>1.819</v>
      </c>
      <c r="J73" s="7">
        <f t="shared" si="33"/>
        <v>1.882625</v>
      </c>
      <c r="K73" s="6">
        <f t="shared" si="34"/>
        <v>3.7861383691038017E-2</v>
      </c>
      <c r="L73" s="6">
        <f t="shared" si="35"/>
        <v>2.0110953424626792</v>
      </c>
      <c r="M73" s="6">
        <f t="shared" si="36"/>
        <v>53.117322886926502</v>
      </c>
      <c r="N73" s="6">
        <f t="shared" si="37"/>
        <v>47.065624999999997</v>
      </c>
      <c r="O73">
        <v>4</v>
      </c>
    </row>
    <row r="74" spans="1:15">
      <c r="A74" s="2" t="s">
        <v>72</v>
      </c>
      <c r="B74" s="6">
        <v>2.2770000000000001</v>
      </c>
      <c r="C74" s="6">
        <v>2.2149999999999999</v>
      </c>
      <c r="D74" s="6">
        <v>2.2549999999999999</v>
      </c>
      <c r="E74" s="6">
        <v>2.2469999999999999</v>
      </c>
      <c r="F74" s="6">
        <v>2.2450000000000001</v>
      </c>
      <c r="G74" s="6">
        <v>2.2029999999999998</v>
      </c>
      <c r="H74" s="6">
        <v>2.27</v>
      </c>
      <c r="I74" s="9">
        <v>2.1890000000000001</v>
      </c>
      <c r="J74" s="7">
        <f t="shared" si="33"/>
        <v>2.237625</v>
      </c>
      <c r="K74" s="6">
        <f t="shared" si="34"/>
        <v>2.9828415563016457E-2</v>
      </c>
      <c r="L74" s="6">
        <f t="shared" si="35"/>
        <v>1.3330390732592128</v>
      </c>
      <c r="M74" s="6">
        <f t="shared" si="36"/>
        <v>44.69024076867214</v>
      </c>
      <c r="N74" s="6">
        <f t="shared" si="37"/>
        <v>55.940624999999997</v>
      </c>
      <c r="O74">
        <v>4</v>
      </c>
    </row>
    <row r="75" spans="1:15">
      <c r="A75" s="2" t="s">
        <v>75</v>
      </c>
      <c r="B75" s="6">
        <v>2.11</v>
      </c>
      <c r="C75" s="6">
        <v>1.9650000000000001</v>
      </c>
      <c r="D75" s="6">
        <v>2.008</v>
      </c>
      <c r="E75" s="6">
        <v>2.0649999999999999</v>
      </c>
      <c r="F75" s="6">
        <v>2.1469999999999998</v>
      </c>
      <c r="G75" s="6">
        <v>2.036</v>
      </c>
      <c r="H75" s="6">
        <v>2.077</v>
      </c>
      <c r="I75" s="9">
        <v>2.0169999999999999</v>
      </c>
      <c r="J75" s="7">
        <f t="shared" si="33"/>
        <v>2.0531250000000001</v>
      </c>
      <c r="K75" s="6">
        <f t="shared" si="34"/>
        <v>5.4953247174302548E-2</v>
      </c>
      <c r="L75" s="6">
        <f t="shared" si="35"/>
        <v>2.6765660724165623</v>
      </c>
      <c r="M75" s="6">
        <f t="shared" si="36"/>
        <v>48.706240487062402</v>
      </c>
      <c r="N75" s="6">
        <f t="shared" si="37"/>
        <v>51.328125</v>
      </c>
      <c r="O75">
        <v>4</v>
      </c>
    </row>
    <row r="76" spans="1:15">
      <c r="A76" s="2" t="s">
        <v>77</v>
      </c>
      <c r="B76" s="6">
        <v>2.097</v>
      </c>
      <c r="C76" s="6">
        <v>2.0720000000000001</v>
      </c>
      <c r="D76" s="6">
        <v>1.9830000000000001</v>
      </c>
      <c r="E76" s="6">
        <v>2.0089999999999999</v>
      </c>
      <c r="F76" s="6">
        <v>2.1040000000000001</v>
      </c>
      <c r="G76" s="6">
        <v>2.08</v>
      </c>
      <c r="H76" s="6">
        <v>2.0299999999999998</v>
      </c>
      <c r="I76" s="9">
        <v>2.0129999999999999</v>
      </c>
      <c r="J76" s="7">
        <f t="shared" si="33"/>
        <v>2.0484999999999998</v>
      </c>
      <c r="K76" s="6">
        <f t="shared" si="34"/>
        <v>4.2470578051163881E-2</v>
      </c>
      <c r="L76" s="6">
        <f t="shared" si="35"/>
        <v>2.0732525287363379</v>
      </c>
      <c r="M76" s="6">
        <f t="shared" si="36"/>
        <v>48.816206980717602</v>
      </c>
      <c r="N76" s="6">
        <f t="shared" si="37"/>
        <v>51.212499999999991</v>
      </c>
      <c r="O76">
        <v>4</v>
      </c>
    </row>
    <row r="77" spans="1:15">
      <c r="A77" s="2" t="s">
        <v>78</v>
      </c>
      <c r="B77" s="6">
        <v>1.7669999999999999</v>
      </c>
      <c r="C77" s="6">
        <v>1.766</v>
      </c>
      <c r="D77" s="6">
        <v>1.7270000000000001</v>
      </c>
      <c r="E77" s="6">
        <v>1.766</v>
      </c>
      <c r="F77" s="6">
        <v>1.766</v>
      </c>
      <c r="G77" s="6">
        <v>1.788</v>
      </c>
      <c r="H77" s="6">
        <v>1.716</v>
      </c>
      <c r="I77" s="9">
        <v>1.768</v>
      </c>
      <c r="J77" s="7">
        <f t="shared" si="33"/>
        <v>1.758</v>
      </c>
      <c r="K77" s="6">
        <f t="shared" si="34"/>
        <v>2.2355088906108152E-2</v>
      </c>
      <c r="L77" s="6">
        <f t="shared" si="35"/>
        <v>1.2716205293576877</v>
      </c>
      <c r="M77" s="6">
        <f t="shared" si="36"/>
        <v>56.882821387940844</v>
      </c>
      <c r="N77" s="6">
        <f t="shared" si="37"/>
        <v>43.95</v>
      </c>
      <c r="O77">
        <v>4</v>
      </c>
    </row>
    <row r="78" spans="1:15">
      <c r="A78" s="2" t="s">
        <v>79</v>
      </c>
      <c r="B78" s="6">
        <v>2.4220000000000002</v>
      </c>
      <c r="C78" s="6">
        <v>2.431</v>
      </c>
      <c r="D78" s="6">
        <v>2.4239999999999999</v>
      </c>
      <c r="E78" s="6">
        <v>2.4689999999999999</v>
      </c>
      <c r="F78" s="6">
        <v>2.3860000000000001</v>
      </c>
      <c r="G78" s="6">
        <v>2.4039999999999999</v>
      </c>
      <c r="H78" s="6">
        <v>2.4750000000000001</v>
      </c>
      <c r="I78" s="9">
        <v>2.5070000000000001</v>
      </c>
      <c r="J78" s="7">
        <f t="shared" si="33"/>
        <v>2.4397500000000001</v>
      </c>
      <c r="K78" s="6">
        <f t="shared" si="34"/>
        <v>3.7794675550929135E-2</v>
      </c>
      <c r="L78" s="6">
        <f t="shared" si="35"/>
        <v>1.5491208341399378</v>
      </c>
      <c r="M78" s="6">
        <f t="shared" si="36"/>
        <v>40.987806127677011</v>
      </c>
      <c r="N78" s="6">
        <f t="shared" si="37"/>
        <v>60.993750000000006</v>
      </c>
      <c r="O78">
        <v>4</v>
      </c>
    </row>
    <row r="79" spans="1:15">
      <c r="A79" s="2" t="s">
        <v>92</v>
      </c>
      <c r="B79" s="6">
        <v>2.9009999999999998</v>
      </c>
      <c r="C79" s="6">
        <v>2.879</v>
      </c>
      <c r="D79" s="6">
        <v>2.9319999999999999</v>
      </c>
      <c r="E79" s="6">
        <v>2.851</v>
      </c>
      <c r="F79" s="6">
        <v>2.9049999999999998</v>
      </c>
      <c r="G79" s="6">
        <v>2.8460000000000001</v>
      </c>
      <c r="H79" s="6">
        <v>2.8769999999999998</v>
      </c>
      <c r="I79" s="9">
        <v>2.8370000000000002</v>
      </c>
      <c r="J79" s="7">
        <f t="shared" si="33"/>
        <v>2.8784999999999998</v>
      </c>
      <c r="K79" s="6">
        <f t="shared" si="34"/>
        <v>3.0838287890218457E-2</v>
      </c>
      <c r="L79" s="6">
        <f t="shared" si="35"/>
        <v>1.07133187042621</v>
      </c>
      <c r="M79" s="6">
        <f t="shared" si="36"/>
        <v>34.740316136876849</v>
      </c>
      <c r="N79" s="6">
        <f t="shared" si="37"/>
        <v>71.962499999999991</v>
      </c>
      <c r="O79">
        <v>1</v>
      </c>
    </row>
    <row r="80" spans="1:15">
      <c r="A80" s="2" t="s">
        <v>93</v>
      </c>
      <c r="B80" s="6">
        <v>2.399</v>
      </c>
      <c r="C80" s="6">
        <v>2.3860000000000001</v>
      </c>
      <c r="D80" s="6">
        <v>2.403</v>
      </c>
      <c r="E80" s="6">
        <v>2.3889999999999998</v>
      </c>
      <c r="F80" s="6">
        <v>2.407</v>
      </c>
      <c r="G80" s="6">
        <v>2.39</v>
      </c>
      <c r="H80" s="6">
        <v>2.415</v>
      </c>
      <c r="I80" s="10">
        <v>2.3839999999999999</v>
      </c>
      <c r="J80" s="7">
        <f t="shared" si="33"/>
        <v>2.3966250000000002</v>
      </c>
      <c r="K80" s="6">
        <f t="shared" si="34"/>
        <v>1.0403575106664079E-2</v>
      </c>
      <c r="L80" s="6">
        <f t="shared" si="35"/>
        <v>0.43409273902525747</v>
      </c>
      <c r="M80" s="6">
        <f t="shared" si="36"/>
        <v>41.725342930162206</v>
      </c>
      <c r="N80" s="6">
        <f t="shared" si="37"/>
        <v>59.915625000000006</v>
      </c>
      <c r="O80">
        <v>1</v>
      </c>
    </row>
    <row r="81" spans="1:17">
      <c r="A81" s="2" t="s">
        <v>94</v>
      </c>
      <c r="B81" s="8">
        <v>3.1305000000000001</v>
      </c>
      <c r="C81" s="8">
        <v>3.0306999999999999</v>
      </c>
      <c r="D81" s="8">
        <v>3.1688999999999998</v>
      </c>
      <c r="E81" s="8">
        <v>3.1213000000000002</v>
      </c>
      <c r="F81" s="8">
        <v>3.1088</v>
      </c>
      <c r="G81" s="8">
        <v>3.0876999999999999</v>
      </c>
      <c r="H81" s="8">
        <v>3.0653999999999999</v>
      </c>
      <c r="I81" s="10">
        <v>3.0413999999999999</v>
      </c>
      <c r="J81" s="7">
        <f t="shared" ref="J81:J87" si="38">AVERAGE(B81:I81)</f>
        <v>3.0943375</v>
      </c>
      <c r="K81" s="6">
        <f t="shared" ref="K81:K87" si="39">_xlfn.STDEV.P(B81:I81)</f>
        <v>4.4069517171736766E-2</v>
      </c>
      <c r="L81" s="6">
        <f t="shared" ref="L81:L87" si="40">K81/J81*100</f>
        <v>1.4241987880034666</v>
      </c>
      <c r="M81" s="6">
        <f t="shared" ref="M81:M87" si="41">100/J81</f>
        <v>32.317095339470889</v>
      </c>
      <c r="N81" s="6">
        <f t="shared" ref="N81:N87" si="42">J81*25</f>
        <v>77.358437499999994</v>
      </c>
      <c r="O81">
        <v>5</v>
      </c>
    </row>
    <row r="82" spans="1:17">
      <c r="A82" s="2" t="s">
        <v>95</v>
      </c>
      <c r="B82" s="8">
        <v>3.0459999999999998</v>
      </c>
      <c r="C82" s="8">
        <v>3.0089000000000001</v>
      </c>
      <c r="D82" s="8">
        <v>3.0108999999999999</v>
      </c>
      <c r="E82" s="8">
        <v>3.0964</v>
      </c>
      <c r="F82" s="8">
        <v>3.3166000000000002</v>
      </c>
      <c r="G82" s="8">
        <v>3.1793999999999998</v>
      </c>
      <c r="H82" s="8">
        <v>3.1732</v>
      </c>
      <c r="I82" s="10">
        <v>3.1852</v>
      </c>
      <c r="J82" s="7">
        <f t="shared" si="38"/>
        <v>3.1270750000000005</v>
      </c>
      <c r="K82" s="6">
        <f t="shared" si="39"/>
        <v>9.9460881129215861E-2</v>
      </c>
      <c r="L82" s="6">
        <f t="shared" si="40"/>
        <v>3.1806362536624748</v>
      </c>
      <c r="M82" s="6">
        <f t="shared" si="41"/>
        <v>31.978766099310054</v>
      </c>
      <c r="N82" s="6">
        <f t="shared" si="42"/>
        <v>78.17687500000001</v>
      </c>
      <c r="O82">
        <v>5</v>
      </c>
    </row>
    <row r="83" spans="1:17">
      <c r="A83" s="2" t="s">
        <v>96</v>
      </c>
      <c r="B83" s="8">
        <v>2.7761</v>
      </c>
      <c r="C83" s="8">
        <v>2.8452000000000002</v>
      </c>
      <c r="D83" s="8">
        <v>2.9293</v>
      </c>
      <c r="E83" s="8">
        <v>2.8851</v>
      </c>
      <c r="F83" s="8">
        <v>2.9304000000000001</v>
      </c>
      <c r="G83" s="8">
        <v>2.8965000000000001</v>
      </c>
      <c r="H83" s="8">
        <v>2.9310999999999998</v>
      </c>
      <c r="I83" s="10">
        <v>2.9323999999999999</v>
      </c>
      <c r="J83" s="7">
        <f t="shared" si="38"/>
        <v>2.8907625000000001</v>
      </c>
      <c r="K83" s="6">
        <f t="shared" si="39"/>
        <v>5.208824093545486E-2</v>
      </c>
      <c r="L83" s="6">
        <f t="shared" si="40"/>
        <v>1.8018858669799009</v>
      </c>
      <c r="M83" s="6">
        <f t="shared" si="41"/>
        <v>34.592949092151294</v>
      </c>
      <c r="N83" s="6">
        <f t="shared" si="42"/>
        <v>72.269062500000004</v>
      </c>
      <c r="O83">
        <v>5</v>
      </c>
    </row>
    <row r="84" spans="1:17">
      <c r="A84" s="2" t="s">
        <v>97</v>
      </c>
      <c r="B84" s="8">
        <v>2.5792000000000002</v>
      </c>
      <c r="C84" s="8">
        <v>2.4803000000000002</v>
      </c>
      <c r="D84" s="8">
        <v>2.5392000000000001</v>
      </c>
      <c r="E84" s="8">
        <v>2.5087000000000002</v>
      </c>
      <c r="F84" s="8">
        <v>2.6164999999999998</v>
      </c>
      <c r="G84" s="8">
        <v>2.5531000000000001</v>
      </c>
      <c r="H84" s="8">
        <v>2.5537999999999998</v>
      </c>
      <c r="I84" s="10">
        <v>2.5678999999999998</v>
      </c>
      <c r="J84" s="7">
        <f t="shared" si="38"/>
        <v>2.5498374999999998</v>
      </c>
      <c r="K84" s="6">
        <f t="shared" si="39"/>
        <v>3.921026452027572E-2</v>
      </c>
      <c r="L84" s="6">
        <f t="shared" si="40"/>
        <v>1.5377554263860236</v>
      </c>
      <c r="M84" s="6">
        <f t="shared" si="41"/>
        <v>39.218185472603651</v>
      </c>
      <c r="N84" s="6">
        <f t="shared" si="42"/>
        <v>63.745937499999997</v>
      </c>
      <c r="O84">
        <v>5</v>
      </c>
    </row>
    <row r="85" spans="1:17">
      <c r="A85" s="2" t="s">
        <v>98</v>
      </c>
      <c r="B85" s="8">
        <v>2.4169</v>
      </c>
      <c r="C85" s="8">
        <v>2.4476</v>
      </c>
      <c r="D85" s="8">
        <v>2.3694000000000002</v>
      </c>
      <c r="E85" s="8">
        <v>2.3824999999999998</v>
      </c>
      <c r="F85" s="8">
        <v>2.3351999999999999</v>
      </c>
      <c r="G85" s="8">
        <v>2.4413</v>
      </c>
      <c r="H85" s="8">
        <v>2.4317000000000002</v>
      </c>
      <c r="I85" s="10">
        <v>2.3915000000000002</v>
      </c>
      <c r="J85" s="7">
        <f t="shared" si="38"/>
        <v>2.4020125000000001</v>
      </c>
      <c r="K85" s="6">
        <f t="shared" si="39"/>
        <v>3.6646024255708856E-2</v>
      </c>
      <c r="L85" s="6">
        <f t="shared" si="40"/>
        <v>1.5256383659830601</v>
      </c>
      <c r="M85" s="6">
        <f t="shared" si="41"/>
        <v>41.631756704013817</v>
      </c>
      <c r="N85" s="6">
        <f t="shared" si="42"/>
        <v>60.050312500000004</v>
      </c>
      <c r="O85">
        <v>5</v>
      </c>
    </row>
    <row r="86" spans="1:17">
      <c r="A86" s="2" t="s">
        <v>99</v>
      </c>
      <c r="B86" s="8">
        <v>2.4312</v>
      </c>
      <c r="C86" s="8">
        <v>2.4161000000000001</v>
      </c>
      <c r="D86" s="8">
        <v>2.3683999999999998</v>
      </c>
      <c r="E86" s="8">
        <v>2.3544999999999998</v>
      </c>
      <c r="F86" s="8">
        <v>2.4759000000000002</v>
      </c>
      <c r="G86" s="8">
        <v>2.4740000000000002</v>
      </c>
      <c r="H86" s="8">
        <v>2.4514999999999998</v>
      </c>
      <c r="I86" s="10">
        <v>2.5335999999999999</v>
      </c>
      <c r="J86" s="7">
        <f t="shared" si="38"/>
        <v>2.4381499999999998</v>
      </c>
      <c r="K86" s="6">
        <f t="shared" si="39"/>
        <v>5.5222391291938865E-2</v>
      </c>
      <c r="L86" s="6">
        <f t="shared" si="40"/>
        <v>2.2649300203818004</v>
      </c>
      <c r="M86" s="6">
        <f t="shared" si="41"/>
        <v>41.014703771302017</v>
      </c>
      <c r="N86" s="6">
        <f t="shared" si="42"/>
        <v>60.953749999999992</v>
      </c>
      <c r="O86">
        <v>5</v>
      </c>
    </row>
    <row r="87" spans="1:17">
      <c r="A87" s="2" t="s">
        <v>100</v>
      </c>
      <c r="B87" s="8">
        <v>2.3875999999999999</v>
      </c>
      <c r="C87" s="8">
        <v>2.347</v>
      </c>
      <c r="D87" s="8">
        <v>2.3683000000000001</v>
      </c>
      <c r="E87" s="8">
        <v>2.4049999999999998</v>
      </c>
      <c r="F87" s="8">
        <v>2.3751000000000002</v>
      </c>
      <c r="G87" s="8">
        <v>2.3591000000000002</v>
      </c>
      <c r="H87" s="8">
        <v>2.4565999999999999</v>
      </c>
      <c r="I87" s="10">
        <v>2.4581</v>
      </c>
      <c r="J87" s="7">
        <f t="shared" si="38"/>
        <v>2.3945999999999996</v>
      </c>
      <c r="K87" s="6">
        <f t="shared" si="39"/>
        <v>3.9735626332046088E-2</v>
      </c>
      <c r="L87" s="6">
        <f t="shared" si="40"/>
        <v>1.6593847127723251</v>
      </c>
      <c r="M87" s="6">
        <f t="shared" si="41"/>
        <v>41.760628079846327</v>
      </c>
      <c r="N87" s="6">
        <f t="shared" si="42"/>
        <v>59.864999999999988</v>
      </c>
      <c r="O87">
        <v>5</v>
      </c>
    </row>
    <row r="88" spans="1:17">
      <c r="A88" s="2" t="s">
        <v>105</v>
      </c>
      <c r="B88" s="13">
        <v>1.7051000000000001</v>
      </c>
      <c r="C88" s="13">
        <v>1.6850000000000001</v>
      </c>
      <c r="D88" s="13">
        <v>1.6887000000000001</v>
      </c>
      <c r="E88" s="13">
        <v>1.7141999999999999</v>
      </c>
      <c r="F88" s="13">
        <v>1.7318</v>
      </c>
      <c r="G88" s="13">
        <v>1.7123999999999999</v>
      </c>
      <c r="H88" s="13">
        <v>1.7233000000000001</v>
      </c>
      <c r="I88" s="14">
        <v>1.7199</v>
      </c>
      <c r="J88" s="7">
        <f t="shared" ref="J88:J90" si="43">AVERAGE(B88:I88)</f>
        <v>1.7100500000000003</v>
      </c>
      <c r="K88" s="6">
        <f t="shared" ref="K88:K90" si="44">_xlfn.STDEV.P(B88:I88)</f>
        <v>1.5314290711619626E-2</v>
      </c>
      <c r="L88" s="6">
        <f t="shared" ref="L88:L90" si="45">K88/J88*100</f>
        <v>0.89554637066867182</v>
      </c>
      <c r="M88" s="6">
        <f t="shared" ref="M88:M89" si="46">100/J88</f>
        <v>58.477822285898064</v>
      </c>
      <c r="N88" s="6">
        <f t="shared" ref="N88:N90" si="47">J88*25</f>
        <v>42.751250000000006</v>
      </c>
      <c r="O88">
        <v>6</v>
      </c>
    </row>
    <row r="89" spans="1:17">
      <c r="A89" s="194" t="s">
        <v>106</v>
      </c>
      <c r="B89" s="190">
        <v>1.7225999999999999</v>
      </c>
      <c r="C89" s="190">
        <v>1.6919999999999999</v>
      </c>
      <c r="D89" s="190">
        <v>1.6607000000000001</v>
      </c>
      <c r="E89" s="190">
        <v>1.7146999999999999</v>
      </c>
      <c r="F89" s="190">
        <v>1.6735</v>
      </c>
      <c r="G89" s="190">
        <v>1.7532000000000001</v>
      </c>
      <c r="H89" s="190">
        <v>1.6941999999999999</v>
      </c>
      <c r="I89" s="191">
        <v>1.7305999999999999</v>
      </c>
      <c r="J89" s="192">
        <f t="shared" si="43"/>
        <v>1.7051875000000001</v>
      </c>
      <c r="K89" s="193">
        <f t="shared" si="44"/>
        <v>2.877183681571268E-2</v>
      </c>
      <c r="L89" s="193">
        <f t="shared" si="45"/>
        <v>1.6873122055910379</v>
      </c>
      <c r="M89" s="193">
        <f t="shared" si="46"/>
        <v>58.644577209251182</v>
      </c>
      <c r="N89" s="193">
        <f t="shared" si="47"/>
        <v>42.629687500000003</v>
      </c>
      <c r="O89" s="20">
        <v>6</v>
      </c>
      <c r="P89" t="s">
        <v>217</v>
      </c>
    </row>
    <row r="90" spans="1:17">
      <c r="A90" s="2" t="s">
        <v>107</v>
      </c>
      <c r="B90" s="13">
        <v>2.2397999999999998</v>
      </c>
      <c r="C90" s="13">
        <v>2.2523</v>
      </c>
      <c r="D90" s="13">
        <v>2.2585000000000002</v>
      </c>
      <c r="E90" s="13">
        <v>2.2019000000000002</v>
      </c>
      <c r="F90" s="13">
        <v>2.2896100000000001</v>
      </c>
      <c r="G90" s="13">
        <v>2.2431999999999999</v>
      </c>
      <c r="H90" s="13">
        <v>2.2517</v>
      </c>
      <c r="I90" s="14">
        <v>2.2347999999999999</v>
      </c>
      <c r="J90" s="7">
        <f t="shared" si="43"/>
        <v>2.2464762499999997</v>
      </c>
      <c r="K90" s="6">
        <f t="shared" si="44"/>
        <v>2.303523818929383E-2</v>
      </c>
      <c r="L90" s="6">
        <f t="shared" si="45"/>
        <v>1.025394245289432</v>
      </c>
      <c r="M90" s="6">
        <f>100/J90</f>
        <v>44.514158562771371</v>
      </c>
      <c r="N90" s="6">
        <f t="shared" si="47"/>
        <v>56.161906249999994</v>
      </c>
      <c r="O90">
        <v>6</v>
      </c>
    </row>
    <row r="91" spans="1:17" ht="15.75" thickBot="1">
      <c r="I91" s="19"/>
      <c r="J91" s="18"/>
      <c r="K91" s="19"/>
      <c r="L91" s="19"/>
      <c r="M91" s="19"/>
      <c r="N91" s="19"/>
      <c r="O91" s="19"/>
      <c r="P91" s="19"/>
    </row>
    <row r="92" spans="1:17" ht="15.75" thickTop="1">
      <c r="I92" s="2" t="s">
        <v>119</v>
      </c>
      <c r="J92" s="16">
        <f>AVERAGE(J50:J90)</f>
        <v>2.4992009451219506</v>
      </c>
      <c r="K92" s="2"/>
      <c r="L92" s="2"/>
      <c r="M92" s="16">
        <f>AVERAGE(M50:M90)</f>
        <v>41.292903824300645</v>
      </c>
      <c r="N92" s="16">
        <f>AVERAGE(N50:N90)</f>
        <v>62.480023628048777</v>
      </c>
      <c r="O92" s="2"/>
      <c r="P92" s="2">
        <f>M92*28.35</f>
        <v>1170.6538234189234</v>
      </c>
      <c r="Q92" s="2" t="s">
        <v>114</v>
      </c>
    </row>
    <row r="93" spans="1:17">
      <c r="J93" s="2"/>
      <c r="K93" s="2"/>
      <c r="L93" s="2" t="s">
        <v>89</v>
      </c>
      <c r="M93" s="2" t="s">
        <v>116</v>
      </c>
      <c r="N93" s="2"/>
      <c r="O93" s="2"/>
      <c r="P93" s="2" t="s">
        <v>117</v>
      </c>
      <c r="Q93" s="2" t="s">
        <v>114</v>
      </c>
    </row>
    <row r="94" spans="1:17">
      <c r="J94" s="2"/>
      <c r="K94" s="2"/>
      <c r="L94" s="2"/>
      <c r="M94" s="2"/>
      <c r="N94" s="2"/>
      <c r="O94" s="2"/>
      <c r="P94" s="2"/>
      <c r="Q94" s="2"/>
    </row>
    <row r="95" spans="1:17">
      <c r="H95" s="21"/>
      <c r="I95" s="21"/>
      <c r="J95" s="21"/>
      <c r="K95" s="21"/>
      <c r="L95" s="21"/>
      <c r="M95" s="21"/>
      <c r="N95" s="21"/>
    </row>
    <row r="96" spans="1:17">
      <c r="H96" t="s">
        <v>123</v>
      </c>
      <c r="J96" s="6">
        <f>AVERAGE(J50:J90,J2:J42)</f>
        <v>2.6834381250000003</v>
      </c>
      <c r="M96" s="6">
        <f>AVERAGE(M50:M90,M2:M42)</f>
        <v>39.253348692486874</v>
      </c>
      <c r="N96">
        <f>J96*25</f>
        <v>67.085953125000003</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47472-9203-4AA0-8189-BABB3797029E}">
  <dimension ref="A1:V169"/>
  <sheetViews>
    <sheetView topLeftCell="K19" zoomScale="90" zoomScaleNormal="90" workbookViewId="0">
      <selection activeCell="J52" sqref="J52"/>
    </sheetView>
  </sheetViews>
  <sheetFormatPr defaultColWidth="12" defaultRowHeight="15.75"/>
  <cols>
    <col min="1" max="2" width="12" style="22"/>
    <col min="3" max="3" width="65.85546875" style="22" customWidth="1"/>
    <col min="4" max="4" width="1.5703125" style="22" customWidth="1"/>
    <col min="5" max="5" width="13.140625" style="22" customWidth="1"/>
    <col min="6" max="6" width="16.7109375" style="22" customWidth="1"/>
    <col min="7" max="7" width="3.28515625" style="22" customWidth="1"/>
    <col min="8" max="8" width="78.5703125" style="22" customWidth="1"/>
    <col min="9" max="9" width="40.42578125" style="22" customWidth="1"/>
    <col min="10" max="10" width="21.85546875" style="22" customWidth="1"/>
    <col min="11" max="11" width="9.5703125" style="22" customWidth="1"/>
    <col min="12" max="12" width="0.42578125" style="22" hidden="1" customWidth="1"/>
    <col min="13" max="13" width="53.42578125" style="22" customWidth="1"/>
    <col min="14" max="14" width="12.140625" style="22" customWidth="1"/>
    <col min="15" max="15" width="42" style="22" customWidth="1"/>
    <col min="16" max="16" width="28.42578125" style="22" customWidth="1"/>
    <col min="17" max="17" width="4.140625" style="22" customWidth="1"/>
    <col min="18" max="18" width="36.5703125" style="22" customWidth="1"/>
    <col min="19" max="19" width="21.42578125" style="22" customWidth="1"/>
    <col min="20" max="20" width="23.85546875" style="22" customWidth="1"/>
    <col min="21" max="21" width="24.5703125" style="22" customWidth="1"/>
    <col min="22" max="16384" width="12" style="22"/>
  </cols>
  <sheetData>
    <row r="1" spans="1:21" ht="21.95" customHeight="1" thickBot="1">
      <c r="A1" s="231" t="s">
        <v>216</v>
      </c>
      <c r="B1" s="189"/>
      <c r="C1" s="189"/>
      <c r="E1" s="122"/>
      <c r="F1" s="122"/>
      <c r="M1" s="122"/>
      <c r="N1" s="122"/>
      <c r="O1" s="122"/>
      <c r="P1" s="122"/>
    </row>
    <row r="2" spans="1:21" ht="21.95" customHeight="1" thickTop="1" thickBot="1">
      <c r="A2" s="231"/>
      <c r="B2" s="242" t="s">
        <v>215</v>
      </c>
      <c r="C2" s="242"/>
      <c r="E2" s="234" t="s">
        <v>214</v>
      </c>
      <c r="F2" s="235"/>
      <c r="G2" s="135"/>
      <c r="H2" s="188" t="s">
        <v>213</v>
      </c>
      <c r="I2" s="229" t="s">
        <v>212</v>
      </c>
      <c r="J2" s="230"/>
      <c r="K2" s="187"/>
      <c r="L2" s="135"/>
      <c r="M2" s="186" t="s">
        <v>211</v>
      </c>
      <c r="N2" s="226" t="s">
        <v>210</v>
      </c>
      <c r="O2" s="227"/>
      <c r="P2" s="228"/>
      <c r="R2" s="185" t="s">
        <v>209</v>
      </c>
      <c r="S2" s="219" t="s">
        <v>208</v>
      </c>
      <c r="T2" s="220"/>
      <c r="U2" s="184">
        <f>IF(P34=0,"",P34)</f>
        <v>79.81</v>
      </c>
    </row>
    <row r="3" spans="1:21" ht="21.95" customHeight="1" thickTop="1" thickBot="1">
      <c r="A3" s="231"/>
      <c r="B3" s="242"/>
      <c r="C3" s="242"/>
      <c r="D3" s="135"/>
      <c r="E3" s="236"/>
      <c r="F3" s="237"/>
      <c r="H3" s="245" t="s">
        <v>207</v>
      </c>
      <c r="I3" s="183" t="s">
        <v>206</v>
      </c>
      <c r="J3" s="182" t="s">
        <v>205</v>
      </c>
      <c r="K3" s="181"/>
      <c r="L3" s="180"/>
      <c r="M3" s="238" t="s">
        <v>204</v>
      </c>
      <c r="N3" s="179" t="s">
        <v>203</v>
      </c>
      <c r="O3" s="171" t="s">
        <v>53</v>
      </c>
      <c r="P3" s="178" t="s">
        <v>202</v>
      </c>
      <c r="R3" s="221" t="s">
        <v>201</v>
      </c>
      <c r="S3" s="121"/>
      <c r="T3" s="121"/>
      <c r="U3" s="65"/>
    </row>
    <row r="4" spans="1:21" ht="21.95" customHeight="1" thickTop="1">
      <c r="A4" s="231"/>
      <c r="B4" s="242"/>
      <c r="C4" s="242"/>
      <c r="D4" s="135"/>
      <c r="E4" s="177" t="s">
        <v>200</v>
      </c>
      <c r="F4" s="176" t="s">
        <v>53</v>
      </c>
      <c r="H4" s="245"/>
      <c r="I4" s="157">
        <v>1</v>
      </c>
      <c r="J4" s="150">
        <v>2.3660000000000001</v>
      </c>
      <c r="K4" s="84">
        <f t="shared" ref="K4:K19" si="0" xml:space="preserve"> IFERROR(_xlfn.RANK.EQ(L4, $L$4:$L$19),"")</f>
        <v>16</v>
      </c>
      <c r="L4" s="173">
        <f t="shared" ref="L4:L19" si="1">ABS($J$45-J4)</f>
        <v>9.1250000000000497E-3</v>
      </c>
      <c r="M4" s="238"/>
      <c r="N4" s="175">
        <v>1</v>
      </c>
      <c r="O4" s="120" t="str">
        <f t="shared" ref="O4:O23" si="2">IF(F5=0,"",F5)</f>
        <v>A1</v>
      </c>
      <c r="P4" s="136">
        <v>54.9</v>
      </c>
      <c r="R4" s="221"/>
      <c r="S4" s="223" t="s">
        <v>199</v>
      </c>
      <c r="T4" s="224"/>
      <c r="U4" s="225"/>
    </row>
    <row r="5" spans="1:21" ht="21.95" customHeight="1">
      <c r="A5" s="231"/>
      <c r="B5" s="242"/>
      <c r="C5" s="242"/>
      <c r="D5" s="135"/>
      <c r="E5" s="174">
        <v>1</v>
      </c>
      <c r="F5" s="133" t="s">
        <v>8</v>
      </c>
      <c r="H5" s="245"/>
      <c r="I5" s="156">
        <v>2</v>
      </c>
      <c r="J5" s="155">
        <v>2.294</v>
      </c>
      <c r="K5" s="84">
        <f t="shared" si="0"/>
        <v>10</v>
      </c>
      <c r="L5" s="173">
        <f t="shared" si="1"/>
        <v>6.2875000000000014E-2</v>
      </c>
      <c r="M5" s="238"/>
      <c r="N5" s="144">
        <v>2</v>
      </c>
      <c r="O5" s="127" t="str">
        <f t="shared" si="2"/>
        <v>A2</v>
      </c>
      <c r="P5" s="128">
        <v>39.549999999999997</v>
      </c>
      <c r="R5" s="221"/>
      <c r="S5" s="172" t="s">
        <v>198</v>
      </c>
      <c r="T5" s="171" t="s">
        <v>197</v>
      </c>
      <c r="U5" s="170" t="s">
        <v>196</v>
      </c>
    </row>
    <row r="6" spans="1:21" ht="21.95" customHeight="1">
      <c r="A6" s="231"/>
      <c r="B6" s="242"/>
      <c r="C6" s="242"/>
      <c r="D6" s="135"/>
      <c r="E6" s="169">
        <v>2</v>
      </c>
      <c r="F6" s="139" t="s">
        <v>13</v>
      </c>
      <c r="H6" s="245"/>
      <c r="I6" s="157">
        <v>3</v>
      </c>
      <c r="J6" s="150">
        <v>2.4670000000000001</v>
      </c>
      <c r="K6" s="84">
        <f t="shared" si="0"/>
        <v>9</v>
      </c>
      <c r="L6" s="71">
        <f t="shared" si="1"/>
        <v>0.11012500000000003</v>
      </c>
      <c r="M6" s="238"/>
      <c r="N6" s="137">
        <v>3</v>
      </c>
      <c r="O6" s="120" t="str">
        <f t="shared" si="2"/>
        <v>A3</v>
      </c>
      <c r="P6" s="136">
        <v>78.150000000000006</v>
      </c>
      <c r="R6" s="221"/>
      <c r="S6" s="143" t="str">
        <f t="shared" ref="S6:S25" si="3">IF(F5=0,"",F5)</f>
        <v>A1</v>
      </c>
      <c r="T6" s="159">
        <f t="shared" ref="T6:T25" si="4">IF(P4=0,"",P4)</f>
        <v>54.9</v>
      </c>
      <c r="U6" s="118">
        <f t="shared" ref="U6:U25" si="5">IFERROR(($U$2*2500)/T6,"")</f>
        <v>3634.3351548269584</v>
      </c>
    </row>
    <row r="7" spans="1:21" ht="21.95" customHeight="1">
      <c r="A7" s="231"/>
      <c r="B7" s="242"/>
      <c r="C7" s="242"/>
      <c r="D7" s="135"/>
      <c r="E7" s="168">
        <v>3</v>
      </c>
      <c r="F7" s="167" t="s">
        <v>15</v>
      </c>
      <c r="H7" s="245"/>
      <c r="I7" s="156">
        <v>4</v>
      </c>
      <c r="J7" s="155">
        <v>2.3420000000000001</v>
      </c>
      <c r="K7" s="84">
        <f t="shared" si="0"/>
        <v>15</v>
      </c>
      <c r="L7" s="71">
        <f t="shared" si="1"/>
        <v>1.4874999999999972E-2</v>
      </c>
      <c r="M7" s="238"/>
      <c r="N7" s="144">
        <v>4</v>
      </c>
      <c r="O7" s="127" t="str">
        <f t="shared" si="2"/>
        <v>A4</v>
      </c>
      <c r="P7" s="128">
        <v>84.17</v>
      </c>
      <c r="R7" s="221"/>
      <c r="S7" s="144" t="str">
        <f t="shared" si="3"/>
        <v>A2</v>
      </c>
      <c r="T7" s="161">
        <f t="shared" si="4"/>
        <v>39.549999999999997</v>
      </c>
      <c r="U7" s="126">
        <f t="shared" si="5"/>
        <v>5044.8798988622002</v>
      </c>
    </row>
    <row r="8" spans="1:21" ht="21.95" customHeight="1">
      <c r="A8" s="231"/>
      <c r="B8" s="242"/>
      <c r="C8" s="242"/>
      <c r="D8" s="135"/>
      <c r="E8" s="149">
        <v>4</v>
      </c>
      <c r="F8" s="139" t="s">
        <v>20</v>
      </c>
      <c r="H8" s="245"/>
      <c r="I8" s="157">
        <v>5</v>
      </c>
      <c r="J8" s="150">
        <v>2.2959999999999998</v>
      </c>
      <c r="K8" s="84">
        <f t="shared" si="0"/>
        <v>11</v>
      </c>
      <c r="L8" s="71">
        <f t="shared" si="1"/>
        <v>6.0875000000000234E-2</v>
      </c>
      <c r="M8" s="238"/>
      <c r="N8" s="143">
        <v>5</v>
      </c>
      <c r="O8" s="120" t="str">
        <f t="shared" si="2"/>
        <v>A5</v>
      </c>
      <c r="P8" s="136">
        <v>87.27</v>
      </c>
      <c r="R8" s="221"/>
      <c r="S8" s="143" t="str">
        <f t="shared" si="3"/>
        <v>A3</v>
      </c>
      <c r="T8" s="159">
        <f t="shared" si="4"/>
        <v>78.150000000000006</v>
      </c>
      <c r="U8" s="118">
        <f t="shared" si="5"/>
        <v>2553.1030070377478</v>
      </c>
    </row>
    <row r="9" spans="1:21" ht="21.95" customHeight="1">
      <c r="A9" s="231"/>
      <c r="B9" s="242"/>
      <c r="C9" s="242"/>
      <c r="D9" s="135"/>
      <c r="E9" s="168">
        <v>5</v>
      </c>
      <c r="F9" s="167" t="s">
        <v>22</v>
      </c>
      <c r="H9" s="245"/>
      <c r="I9" s="156">
        <v>6</v>
      </c>
      <c r="J9" s="155">
        <v>2.3879999999999999</v>
      </c>
      <c r="K9" s="84">
        <f t="shared" si="0"/>
        <v>12</v>
      </c>
      <c r="L9" s="71">
        <f t="shared" si="1"/>
        <v>3.1124999999999847E-2</v>
      </c>
      <c r="M9" s="238"/>
      <c r="N9" s="154">
        <v>6</v>
      </c>
      <c r="O9" s="127" t="str">
        <f t="shared" si="2"/>
        <v>A6</v>
      </c>
      <c r="P9" s="128">
        <v>70.739999999999995</v>
      </c>
      <c r="R9" s="221"/>
      <c r="S9" s="127" t="str">
        <f t="shared" si="3"/>
        <v>A4</v>
      </c>
      <c r="T9" s="161">
        <f t="shared" si="4"/>
        <v>84.17</v>
      </c>
      <c r="U9" s="126">
        <f t="shared" si="5"/>
        <v>2370.5001782107638</v>
      </c>
    </row>
    <row r="10" spans="1:21" ht="21.95" customHeight="1">
      <c r="A10" s="231"/>
      <c r="B10" s="242"/>
      <c r="C10" s="242"/>
      <c r="D10" s="135"/>
      <c r="E10" s="149">
        <v>6</v>
      </c>
      <c r="F10" s="139" t="s">
        <v>24</v>
      </c>
      <c r="H10" s="245"/>
      <c r="I10" s="157">
        <v>7</v>
      </c>
      <c r="J10" s="150">
        <v>2.3730000000000002</v>
      </c>
      <c r="K10" s="84">
        <f t="shared" si="0"/>
        <v>14</v>
      </c>
      <c r="L10" s="71">
        <f t="shared" si="1"/>
        <v>1.6125000000000167E-2</v>
      </c>
      <c r="M10" s="238"/>
      <c r="N10" s="143">
        <v>7</v>
      </c>
      <c r="O10" s="120" t="str">
        <f t="shared" si="2"/>
        <v>A7</v>
      </c>
      <c r="P10" s="136">
        <v>93.25</v>
      </c>
      <c r="R10" s="221"/>
      <c r="S10" s="120" t="str">
        <f t="shared" si="3"/>
        <v>A5</v>
      </c>
      <c r="T10" s="159">
        <f t="shared" si="4"/>
        <v>87.27</v>
      </c>
      <c r="U10" s="118">
        <f t="shared" si="5"/>
        <v>2286.2954050647418</v>
      </c>
    </row>
    <row r="11" spans="1:21" ht="21.95" customHeight="1" thickBot="1">
      <c r="A11" s="231"/>
      <c r="B11" s="242"/>
      <c r="C11" s="242"/>
      <c r="D11" s="135"/>
      <c r="E11" s="168">
        <v>7</v>
      </c>
      <c r="F11" s="167" t="s">
        <v>27</v>
      </c>
      <c r="H11" s="245"/>
      <c r="I11" s="166">
        <v>8</v>
      </c>
      <c r="J11" s="165">
        <v>2.3290000000000002</v>
      </c>
      <c r="K11" s="84">
        <f t="shared" si="0"/>
        <v>13</v>
      </c>
      <c r="L11" s="71">
        <f t="shared" si="1"/>
        <v>2.7874999999999872E-2</v>
      </c>
      <c r="M11" s="238"/>
      <c r="N11" s="144">
        <v>8</v>
      </c>
      <c r="O11" s="127" t="str">
        <f t="shared" si="2"/>
        <v>A8</v>
      </c>
      <c r="P11" s="128">
        <v>75</v>
      </c>
      <c r="R11" s="221"/>
      <c r="S11" s="144" t="str">
        <f t="shared" si="3"/>
        <v>A6</v>
      </c>
      <c r="T11" s="127">
        <f t="shared" si="4"/>
        <v>70.739999999999995</v>
      </c>
      <c r="U11" s="126">
        <f t="shared" si="5"/>
        <v>2820.5400056545095</v>
      </c>
    </row>
    <row r="12" spans="1:21" ht="21.95" customHeight="1" thickTop="1">
      <c r="A12" s="231"/>
      <c r="B12" s="242"/>
      <c r="C12" s="242"/>
      <c r="D12" s="135"/>
      <c r="E12" s="149">
        <v>8</v>
      </c>
      <c r="F12" s="152" t="s">
        <v>29</v>
      </c>
      <c r="H12" s="245"/>
      <c r="I12" s="164">
        <v>9</v>
      </c>
      <c r="J12" s="163"/>
      <c r="K12" s="84">
        <f t="shared" si="0"/>
        <v>1</v>
      </c>
      <c r="L12" s="71">
        <f t="shared" si="1"/>
        <v>2.3568750000000001</v>
      </c>
      <c r="M12" s="238"/>
      <c r="N12" s="137">
        <v>9</v>
      </c>
      <c r="O12" s="120" t="str">
        <f t="shared" si="2"/>
        <v>A9</v>
      </c>
      <c r="P12" s="136">
        <v>80.38</v>
      </c>
      <c r="R12" s="221"/>
      <c r="S12" s="143" t="str">
        <f t="shared" si="3"/>
        <v>A7</v>
      </c>
      <c r="T12" s="162">
        <f t="shared" si="4"/>
        <v>93.25</v>
      </c>
      <c r="U12" s="118">
        <f t="shared" si="5"/>
        <v>2139.6782841823056</v>
      </c>
    </row>
    <row r="13" spans="1:21" ht="21.95" customHeight="1">
      <c r="A13" s="231"/>
      <c r="B13" s="242"/>
      <c r="C13" s="242"/>
      <c r="D13" s="135"/>
      <c r="E13" s="148">
        <v>9</v>
      </c>
      <c r="F13" s="133" t="s">
        <v>31</v>
      </c>
      <c r="H13" s="245"/>
      <c r="I13" s="156">
        <v>10</v>
      </c>
      <c r="J13" s="155"/>
      <c r="K13" s="84">
        <f t="shared" si="0"/>
        <v>1</v>
      </c>
      <c r="L13" s="71">
        <f t="shared" si="1"/>
        <v>2.3568750000000001</v>
      </c>
      <c r="M13" s="238"/>
      <c r="N13" s="144">
        <v>10</v>
      </c>
      <c r="O13" s="127" t="str">
        <f t="shared" si="2"/>
        <v>A10</v>
      </c>
      <c r="P13" s="128">
        <v>87.91</v>
      </c>
      <c r="R13" s="221"/>
      <c r="S13" s="127" t="str">
        <f t="shared" si="3"/>
        <v>A8</v>
      </c>
      <c r="T13" s="161">
        <f t="shared" si="4"/>
        <v>75</v>
      </c>
      <c r="U13" s="126">
        <f t="shared" si="5"/>
        <v>2660.3333333333335</v>
      </c>
    </row>
    <row r="14" spans="1:21" ht="21.95" customHeight="1">
      <c r="A14" s="231"/>
      <c r="B14" s="242"/>
      <c r="C14" s="242"/>
      <c r="D14" s="135"/>
      <c r="E14" s="153">
        <v>10</v>
      </c>
      <c r="F14" s="160" t="s">
        <v>33</v>
      </c>
      <c r="H14" s="245"/>
      <c r="I14" s="157">
        <v>11</v>
      </c>
      <c r="J14" s="150"/>
      <c r="K14" s="84">
        <f t="shared" si="0"/>
        <v>1</v>
      </c>
      <c r="L14" s="71">
        <f t="shared" si="1"/>
        <v>2.3568750000000001</v>
      </c>
      <c r="M14" s="238"/>
      <c r="N14" s="137">
        <v>11</v>
      </c>
      <c r="O14" s="120" t="str">
        <f t="shared" si="2"/>
        <v>A11</v>
      </c>
      <c r="P14" s="136">
        <v>68.91</v>
      </c>
      <c r="R14" s="221"/>
      <c r="S14" s="143" t="str">
        <f t="shared" si="3"/>
        <v>A9</v>
      </c>
      <c r="T14" s="159">
        <f t="shared" si="4"/>
        <v>80.38</v>
      </c>
      <c r="U14" s="118">
        <f t="shared" si="5"/>
        <v>2482.2717093804431</v>
      </c>
    </row>
    <row r="15" spans="1:21" ht="21.95" customHeight="1">
      <c r="A15" s="231"/>
      <c r="B15" s="242"/>
      <c r="C15" s="242"/>
      <c r="D15" s="135"/>
      <c r="E15" s="148">
        <v>11</v>
      </c>
      <c r="F15" s="147" t="s">
        <v>36</v>
      </c>
      <c r="H15" s="245"/>
      <c r="I15" s="156">
        <v>12</v>
      </c>
      <c r="J15" s="155"/>
      <c r="K15" s="84">
        <f t="shared" si="0"/>
        <v>1</v>
      </c>
      <c r="L15" s="71">
        <f t="shared" si="1"/>
        <v>2.3568750000000001</v>
      </c>
      <c r="M15" s="238"/>
      <c r="N15" s="158">
        <v>12</v>
      </c>
      <c r="O15" s="127" t="str">
        <f t="shared" si="2"/>
        <v>A12</v>
      </c>
      <c r="P15" s="128">
        <v>79.83</v>
      </c>
      <c r="R15" s="221"/>
      <c r="S15" s="144" t="str">
        <f t="shared" si="3"/>
        <v>A10</v>
      </c>
      <c r="T15" s="127">
        <f t="shared" si="4"/>
        <v>87.91</v>
      </c>
      <c r="U15" s="126">
        <f t="shared" si="5"/>
        <v>2269.6507792060061</v>
      </c>
    </row>
    <row r="16" spans="1:21" ht="21.95" customHeight="1">
      <c r="A16" s="231"/>
      <c r="B16" s="242"/>
      <c r="C16" s="242"/>
      <c r="D16" s="135"/>
      <c r="E16" s="153">
        <v>12</v>
      </c>
      <c r="F16" s="152" t="s">
        <v>38</v>
      </c>
      <c r="H16" s="245"/>
      <c r="I16" s="157">
        <v>13</v>
      </c>
      <c r="J16" s="150"/>
      <c r="K16" s="84">
        <f t="shared" si="0"/>
        <v>1</v>
      </c>
      <c r="L16" s="71">
        <f t="shared" si="1"/>
        <v>2.3568750000000001</v>
      </c>
      <c r="M16" s="238"/>
      <c r="N16" s="143">
        <v>13</v>
      </c>
      <c r="O16" s="120" t="str">
        <f t="shared" si="2"/>
        <v>A13</v>
      </c>
      <c r="P16" s="136">
        <v>78.75</v>
      </c>
      <c r="R16" s="221"/>
      <c r="S16" s="120" t="str">
        <f t="shared" si="3"/>
        <v>A11</v>
      </c>
      <c r="T16" s="119">
        <f t="shared" si="4"/>
        <v>68.91</v>
      </c>
      <c r="U16" s="118">
        <f t="shared" si="5"/>
        <v>2895.4433318821652</v>
      </c>
    </row>
    <row r="17" spans="1:22" ht="21.95" customHeight="1">
      <c r="A17" s="231"/>
      <c r="B17" s="242"/>
      <c r="C17" s="242"/>
      <c r="D17" s="135"/>
      <c r="E17" s="148">
        <v>13</v>
      </c>
      <c r="F17" s="147" t="s">
        <v>40</v>
      </c>
      <c r="H17" s="245"/>
      <c r="I17" s="156">
        <v>14</v>
      </c>
      <c r="J17" s="155"/>
      <c r="K17" s="84">
        <f t="shared" si="0"/>
        <v>1</v>
      </c>
      <c r="L17" s="71">
        <f t="shared" si="1"/>
        <v>2.3568750000000001</v>
      </c>
      <c r="M17" s="238"/>
      <c r="N17" s="154">
        <v>14</v>
      </c>
      <c r="O17" s="127" t="str">
        <f t="shared" si="2"/>
        <v>A14</v>
      </c>
      <c r="P17" s="128">
        <v>61.58</v>
      </c>
      <c r="R17" s="221"/>
      <c r="S17" s="127" t="str">
        <f t="shared" si="3"/>
        <v>A12</v>
      </c>
      <c r="T17" s="127">
        <f t="shared" si="4"/>
        <v>79.83</v>
      </c>
      <c r="U17" s="126">
        <f t="shared" si="5"/>
        <v>2499.3736690467244</v>
      </c>
    </row>
    <row r="18" spans="1:22" ht="21.95" customHeight="1">
      <c r="A18" s="231"/>
      <c r="B18" s="243" t="s">
        <v>195</v>
      </c>
      <c r="C18" s="244"/>
      <c r="D18" s="135"/>
      <c r="E18" s="153">
        <v>14</v>
      </c>
      <c r="F18" s="152" t="s">
        <v>42</v>
      </c>
      <c r="H18" s="245"/>
      <c r="I18" s="151">
        <v>15</v>
      </c>
      <c r="J18" s="150"/>
      <c r="K18" s="84">
        <f t="shared" si="0"/>
        <v>1</v>
      </c>
      <c r="L18" s="71">
        <f t="shared" si="1"/>
        <v>2.3568750000000001</v>
      </c>
      <c r="M18" s="238"/>
      <c r="N18" s="149">
        <v>15</v>
      </c>
      <c r="O18" s="120" t="str">
        <f t="shared" si="2"/>
        <v>A15</v>
      </c>
      <c r="P18" s="136">
        <v>55.1</v>
      </c>
      <c r="R18" s="221"/>
      <c r="S18" s="143" t="str">
        <f t="shared" si="3"/>
        <v>A13</v>
      </c>
      <c r="T18" s="119">
        <f t="shared" si="4"/>
        <v>78.75</v>
      </c>
      <c r="U18" s="118">
        <f t="shared" si="5"/>
        <v>2533.6507936507937</v>
      </c>
    </row>
    <row r="19" spans="1:22" ht="21.95" customHeight="1" thickBot="1">
      <c r="A19" s="231"/>
      <c r="B19" s="244"/>
      <c r="C19" s="244"/>
      <c r="D19" s="135"/>
      <c r="E19" s="148">
        <v>15</v>
      </c>
      <c r="F19" s="147" t="s">
        <v>45</v>
      </c>
      <c r="H19" s="245"/>
      <c r="I19" s="146">
        <v>16</v>
      </c>
      <c r="J19" s="145"/>
      <c r="K19" s="84">
        <f t="shared" si="0"/>
        <v>1</v>
      </c>
      <c r="L19" s="71">
        <f t="shared" si="1"/>
        <v>2.3568750000000001</v>
      </c>
      <c r="M19" s="238"/>
      <c r="N19" s="144">
        <v>16</v>
      </c>
      <c r="O19" s="127" t="str">
        <f t="shared" si="2"/>
        <v>A16</v>
      </c>
      <c r="P19" s="128">
        <v>81.38</v>
      </c>
      <c r="R19" s="221"/>
      <c r="S19" s="144" t="str">
        <f t="shared" si="3"/>
        <v>A14</v>
      </c>
      <c r="T19" s="127">
        <f t="shared" si="4"/>
        <v>61.58</v>
      </c>
      <c r="U19" s="126">
        <f t="shared" si="5"/>
        <v>3240.0941864241636</v>
      </c>
    </row>
    <row r="20" spans="1:22" ht="21.95" customHeight="1" thickTop="1" thickBot="1">
      <c r="A20" s="231"/>
      <c r="B20" s="244"/>
      <c r="C20" s="244"/>
      <c r="D20" s="135"/>
      <c r="E20" s="140">
        <v>16</v>
      </c>
      <c r="F20" s="139" t="s">
        <v>47</v>
      </c>
      <c r="H20" s="245"/>
      <c r="I20" s="121"/>
      <c r="J20" s="65"/>
      <c r="M20" s="238"/>
      <c r="N20" s="137">
        <v>17</v>
      </c>
      <c r="O20" s="120" t="str">
        <f t="shared" si="2"/>
        <v>A18</v>
      </c>
      <c r="P20" s="136">
        <v>58.17</v>
      </c>
      <c r="R20" s="221"/>
      <c r="S20" s="143" t="str">
        <f t="shared" si="3"/>
        <v>A15</v>
      </c>
      <c r="T20" s="119">
        <f t="shared" si="4"/>
        <v>55.1</v>
      </c>
      <c r="U20" s="118">
        <f t="shared" si="5"/>
        <v>3621.1433756805804</v>
      </c>
    </row>
    <row r="21" spans="1:22" ht="21.95" customHeight="1" thickTop="1" thickBot="1">
      <c r="A21" s="231"/>
      <c r="B21" s="244"/>
      <c r="C21" s="244"/>
      <c r="D21" s="135"/>
      <c r="E21" s="142">
        <v>17</v>
      </c>
      <c r="F21" s="133" t="s">
        <v>86</v>
      </c>
      <c r="H21" s="245"/>
      <c r="I21" s="107" t="s">
        <v>194</v>
      </c>
      <c r="J21" s="93">
        <f>IFERROR((I59/J23)*100,"---")</f>
        <v>2.3838551326338959</v>
      </c>
      <c r="M21" s="238"/>
      <c r="N21" s="141">
        <v>18</v>
      </c>
      <c r="O21" s="127" t="str">
        <f t="shared" si="2"/>
        <v>A19</v>
      </c>
      <c r="P21" s="128">
        <v>59.67</v>
      </c>
      <c r="R21" s="221"/>
      <c r="S21" s="127" t="str">
        <f t="shared" si="3"/>
        <v>A16</v>
      </c>
      <c r="T21" s="127">
        <f t="shared" si="4"/>
        <v>81.38</v>
      </c>
      <c r="U21" s="126">
        <f t="shared" si="5"/>
        <v>2451.7694765298602</v>
      </c>
    </row>
    <row r="22" spans="1:22" ht="21.95" customHeight="1" thickTop="1" thickBot="1">
      <c r="A22" s="231"/>
      <c r="B22" s="244"/>
      <c r="C22" s="244"/>
      <c r="D22" s="135"/>
      <c r="E22" s="140">
        <v>18</v>
      </c>
      <c r="F22" s="139" t="s">
        <v>51</v>
      </c>
      <c r="H22" s="138"/>
      <c r="K22" s="95"/>
      <c r="M22" s="238"/>
      <c r="N22" s="137">
        <v>19</v>
      </c>
      <c r="O22" s="120" t="str">
        <f t="shared" si="2"/>
        <v>A20</v>
      </c>
      <c r="P22" s="136">
        <v>85.91</v>
      </c>
      <c r="R22" s="221"/>
      <c r="S22" s="120" t="str">
        <f t="shared" si="3"/>
        <v>A18</v>
      </c>
      <c r="T22" s="119">
        <f t="shared" si="4"/>
        <v>58.17</v>
      </c>
      <c r="U22" s="118">
        <f t="shared" si="5"/>
        <v>3430.0326628846483</v>
      </c>
    </row>
    <row r="23" spans="1:22" ht="21.95" customHeight="1" thickTop="1" thickBot="1">
      <c r="A23" s="231"/>
      <c r="B23" s="244"/>
      <c r="C23" s="244"/>
      <c r="D23" s="135"/>
      <c r="E23" s="134">
        <v>19</v>
      </c>
      <c r="F23" s="133" t="s">
        <v>54</v>
      </c>
      <c r="H23" s="132" t="s">
        <v>193</v>
      </c>
      <c r="I23" s="131" t="s">
        <v>192</v>
      </c>
      <c r="J23" s="130">
        <f>IFERROR(AVERAGE(J4:J11),"---")</f>
        <v>2.3568750000000001</v>
      </c>
      <c r="M23" s="238"/>
      <c r="N23" s="129">
        <v>20</v>
      </c>
      <c r="O23" s="114" t="str">
        <f t="shared" si="2"/>
        <v>A21</v>
      </c>
      <c r="P23" s="128">
        <v>58.93</v>
      </c>
      <c r="R23" s="221"/>
      <c r="S23" s="127" t="str">
        <f t="shared" si="3"/>
        <v>A19</v>
      </c>
      <c r="T23" s="127">
        <f t="shared" si="4"/>
        <v>59.67</v>
      </c>
      <c r="U23" s="126">
        <f t="shared" si="5"/>
        <v>3343.8076085134908</v>
      </c>
    </row>
    <row r="24" spans="1:22" ht="21.95" customHeight="1" thickTop="1" thickBot="1">
      <c r="A24" s="231"/>
      <c r="B24" s="244"/>
      <c r="C24" s="244"/>
      <c r="E24" s="125">
        <v>20</v>
      </c>
      <c r="F24" s="124" t="s">
        <v>56</v>
      </c>
      <c r="H24" s="200" t="s">
        <v>191</v>
      </c>
      <c r="I24" s="73" t="s">
        <v>170</v>
      </c>
      <c r="J24" s="123">
        <f>J23</f>
        <v>2.3568750000000001</v>
      </c>
      <c r="M24" s="238"/>
      <c r="O24" s="122"/>
      <c r="P24" s="121"/>
      <c r="Q24" s="95"/>
      <c r="R24" s="221"/>
      <c r="S24" s="120" t="str">
        <f t="shared" si="3"/>
        <v>A20</v>
      </c>
      <c r="T24" s="119">
        <f t="shared" si="4"/>
        <v>85.91</v>
      </c>
      <c r="U24" s="118">
        <f t="shared" si="5"/>
        <v>2322.4886509137468</v>
      </c>
    </row>
    <row r="25" spans="1:22" ht="21.95" customHeight="1" thickTop="1" thickBot="1">
      <c r="A25" s="231"/>
      <c r="B25" s="117"/>
      <c r="C25" s="117"/>
      <c r="E25" s="116"/>
      <c r="H25" s="200"/>
      <c r="I25" s="73" t="s">
        <v>190</v>
      </c>
      <c r="J25" s="115">
        <f>J23</f>
        <v>2.3568750000000001</v>
      </c>
      <c r="M25" s="238"/>
      <c r="N25" s="232" t="s">
        <v>189</v>
      </c>
      <c r="O25" s="233"/>
      <c r="P25" s="93">
        <f>IFERROR((T64/P27)*100,"---")</f>
        <v>19.792780149000833</v>
      </c>
      <c r="R25" s="222"/>
      <c r="S25" s="114" t="str">
        <f t="shared" si="3"/>
        <v>A21</v>
      </c>
      <c r="T25" s="114">
        <f t="shared" si="4"/>
        <v>58.93</v>
      </c>
      <c r="U25" s="113">
        <f t="shared" si="5"/>
        <v>3385.7967079585951</v>
      </c>
      <c r="V25" s="95"/>
    </row>
    <row r="26" spans="1:22" ht="21.95" customHeight="1" thickTop="1" thickBot="1">
      <c r="A26" s="231"/>
      <c r="B26" s="246"/>
      <c r="C26" s="246"/>
      <c r="D26" s="246"/>
      <c r="E26" s="246"/>
      <c r="F26" s="246"/>
      <c r="H26" s="200"/>
      <c r="I26" s="73" t="s">
        <v>188</v>
      </c>
      <c r="J26" s="112">
        <f>J23</f>
        <v>2.3568750000000001</v>
      </c>
      <c r="M26" s="238"/>
      <c r="N26" s="208"/>
      <c r="O26" s="208"/>
      <c r="P26" s="208"/>
      <c r="Q26" s="95"/>
    </row>
    <row r="27" spans="1:22" ht="21.95" customHeight="1" thickTop="1" thickBot="1">
      <c r="A27" s="231"/>
      <c r="B27" s="246"/>
      <c r="C27" s="246"/>
      <c r="D27" s="246"/>
      <c r="E27" s="246"/>
      <c r="F27" s="246"/>
      <c r="H27" s="200"/>
      <c r="I27" s="73" t="s">
        <v>167</v>
      </c>
      <c r="J27" s="111">
        <f>J23</f>
        <v>2.3568750000000001</v>
      </c>
      <c r="M27" s="238"/>
      <c r="N27" s="210" t="s">
        <v>187</v>
      </c>
      <c r="O27" s="211"/>
      <c r="P27" s="110">
        <f>IFERROR(AVERAGE(P4:P23),"---")</f>
        <v>71.977500000000006</v>
      </c>
    </row>
    <row r="28" spans="1:22" ht="21.95" customHeight="1" thickTop="1" thickBot="1">
      <c r="A28" s="231"/>
      <c r="B28" s="246"/>
      <c r="C28" s="246"/>
      <c r="D28" s="246"/>
      <c r="E28" s="246"/>
      <c r="F28" s="246"/>
      <c r="H28" s="200"/>
      <c r="I28" s="70" t="s">
        <v>166</v>
      </c>
      <c r="J28" s="109">
        <f>J23</f>
        <v>2.3568750000000001</v>
      </c>
      <c r="M28" s="238"/>
      <c r="N28" s="208"/>
      <c r="O28" s="208"/>
      <c r="P28" s="208"/>
      <c r="Q28" s="95"/>
    </row>
    <row r="29" spans="1:22" ht="21.95" customHeight="1" thickTop="1" thickBot="1">
      <c r="A29" s="231"/>
      <c r="B29" s="246"/>
      <c r="C29" s="246"/>
      <c r="D29" s="246"/>
      <c r="E29" s="246"/>
      <c r="F29" s="246"/>
      <c r="H29" s="200"/>
      <c r="K29" s="95"/>
      <c r="M29" s="238"/>
      <c r="N29" s="212" t="s">
        <v>186</v>
      </c>
      <c r="O29" s="213"/>
      <c r="P29" s="108">
        <f>IFERROR(T72,"---")</f>
        <v>77.485791472500395</v>
      </c>
    </row>
    <row r="30" spans="1:22" ht="21.95" customHeight="1" thickTop="1" thickBot="1">
      <c r="A30" s="231"/>
      <c r="B30" s="105"/>
      <c r="C30" s="105"/>
      <c r="D30" s="105"/>
      <c r="E30" s="105"/>
      <c r="F30" s="105"/>
      <c r="H30" s="200"/>
      <c r="I30" s="107" t="s">
        <v>185</v>
      </c>
      <c r="J30" s="66">
        <v>2.3570000000000002</v>
      </c>
      <c r="M30" s="238"/>
      <c r="N30" s="214" t="s">
        <v>184</v>
      </c>
      <c r="O30" s="215"/>
      <c r="P30" s="106">
        <f>P29</f>
        <v>77.485791472500395</v>
      </c>
    </row>
    <row r="31" spans="1:22" ht="21.95" customHeight="1" thickTop="1" thickBot="1">
      <c r="A31" s="231"/>
      <c r="B31" s="105"/>
      <c r="C31" s="105"/>
      <c r="D31" s="105"/>
      <c r="E31" s="105"/>
      <c r="F31" s="105"/>
      <c r="H31" s="200"/>
      <c r="J31" s="65"/>
      <c r="M31" s="238"/>
      <c r="N31" s="216" t="s">
        <v>183</v>
      </c>
      <c r="O31" s="217"/>
      <c r="P31" s="103">
        <f>P29</f>
        <v>77.485791472500395</v>
      </c>
    </row>
    <row r="32" spans="1:22" ht="21.95" customHeight="1" thickTop="1" thickBot="1">
      <c r="A32" s="231"/>
      <c r="B32" s="97"/>
      <c r="C32" s="97"/>
      <c r="H32" s="200"/>
      <c r="I32" s="240" t="s">
        <v>182</v>
      </c>
      <c r="J32" s="241"/>
      <c r="M32" s="238"/>
      <c r="N32" s="198" t="s">
        <v>181</v>
      </c>
      <c r="O32" s="199"/>
      <c r="P32" s="101">
        <f>P29</f>
        <v>77.485791472500395</v>
      </c>
    </row>
    <row r="33" spans="1:17" ht="21.95" customHeight="1" thickTop="1" thickBot="1">
      <c r="A33" s="231"/>
      <c r="B33" s="97"/>
      <c r="C33" s="97"/>
      <c r="H33" s="200"/>
      <c r="I33" s="62" t="s">
        <v>163</v>
      </c>
      <c r="J33" s="100">
        <f>IF(J30*25=0,"",J30*25)</f>
        <v>58.925000000000004</v>
      </c>
      <c r="M33" s="238"/>
      <c r="N33" s="209"/>
      <c r="O33" s="209"/>
      <c r="P33" s="209"/>
      <c r="Q33" s="95"/>
    </row>
    <row r="34" spans="1:17" ht="21.95" customHeight="1" thickTop="1" thickBot="1">
      <c r="A34" s="231"/>
      <c r="B34" s="97"/>
      <c r="C34" s="97"/>
      <c r="H34" s="200"/>
      <c r="I34" s="99" t="s">
        <v>162</v>
      </c>
      <c r="J34" s="58">
        <f>IFERROR(J33*10,"")</f>
        <v>589.25</v>
      </c>
      <c r="M34" s="238"/>
      <c r="N34" s="218" t="s">
        <v>180</v>
      </c>
      <c r="O34" s="218"/>
      <c r="P34" s="98">
        <v>79.81</v>
      </c>
      <c r="Q34" s="91"/>
    </row>
    <row r="35" spans="1:17" ht="21.95" customHeight="1" thickTop="1" thickBot="1">
      <c r="A35" s="231"/>
      <c r="B35" s="97"/>
      <c r="C35" s="97"/>
      <c r="H35" s="200"/>
      <c r="J35" s="65"/>
      <c r="M35" s="238"/>
      <c r="N35" s="96"/>
      <c r="O35" s="96"/>
      <c r="P35" s="96"/>
      <c r="Q35" s="95"/>
    </row>
    <row r="36" spans="1:17" ht="21.95" customHeight="1" thickTop="1" thickBot="1">
      <c r="A36" s="78"/>
      <c r="B36" s="77"/>
      <c r="C36" s="77"/>
      <c r="H36" s="200"/>
      <c r="I36" s="94" t="s">
        <v>179</v>
      </c>
      <c r="J36" s="93">
        <f>IFERROR((I60/J45)*100, "")</f>
        <v>2.3838551326338959</v>
      </c>
      <c r="M36" s="239"/>
      <c r="N36" s="218" t="s">
        <v>178</v>
      </c>
      <c r="O36" s="218"/>
      <c r="P36" s="92">
        <f>IF(10*P34=0,"", 10*P34)</f>
        <v>798.1</v>
      </c>
      <c r="Q36" s="91"/>
    </row>
    <row r="37" spans="1:17" ht="21.95" customHeight="1" thickTop="1" thickBot="1">
      <c r="A37" s="78"/>
      <c r="B37" s="77"/>
      <c r="C37" s="77"/>
      <c r="H37" s="200"/>
      <c r="J37" s="65"/>
    </row>
    <row r="38" spans="1:17" ht="21.95" customHeight="1" thickTop="1">
      <c r="A38" s="78"/>
      <c r="B38" s="77"/>
      <c r="C38" s="77"/>
      <c r="H38" s="200"/>
      <c r="I38" s="196" t="s">
        <v>177</v>
      </c>
      <c r="J38" s="197"/>
    </row>
    <row r="39" spans="1:17" ht="21.95" customHeight="1">
      <c r="A39" s="78"/>
      <c r="B39" s="77"/>
      <c r="C39" s="77"/>
      <c r="H39" s="200"/>
      <c r="I39" s="202" t="s">
        <v>176</v>
      </c>
      <c r="J39" s="203"/>
    </row>
    <row r="40" spans="1:17" ht="21.95" customHeight="1">
      <c r="A40" s="78"/>
      <c r="B40" s="77"/>
      <c r="C40" s="77"/>
      <c r="H40" s="200"/>
      <c r="I40" s="204"/>
      <c r="J40" s="205"/>
      <c r="K40" s="90"/>
    </row>
    <row r="41" spans="1:17" ht="21.95" customHeight="1">
      <c r="A41" s="78"/>
      <c r="B41" s="77"/>
      <c r="C41" s="77"/>
      <c r="H41" s="200"/>
      <c r="I41" s="89" t="s">
        <v>175</v>
      </c>
      <c r="J41" s="88" t="s">
        <v>174</v>
      </c>
      <c r="K41" s="87"/>
    </row>
    <row r="42" spans="1:17" ht="21.95" customHeight="1">
      <c r="A42" s="78"/>
      <c r="B42" s="77"/>
      <c r="C42" s="77"/>
      <c r="H42" s="200"/>
      <c r="I42" s="86" t="s">
        <v>173</v>
      </c>
      <c r="J42" s="85" t="str">
        <f>IFERROR(K95,"")</f>
        <v>NO</v>
      </c>
      <c r="K42" s="84"/>
      <c r="L42" s="71"/>
    </row>
    <row r="43" spans="1:17" ht="21.95" customHeight="1" thickBot="1">
      <c r="A43" s="78"/>
      <c r="B43" s="77"/>
      <c r="C43" s="77"/>
      <c r="H43" s="200"/>
      <c r="I43" s="83" t="s">
        <v>172</v>
      </c>
      <c r="J43" s="82" t="str">
        <f>IFERROR(K126,"")</f>
        <v>NO</v>
      </c>
      <c r="L43" s="71"/>
      <c r="M43" s="81"/>
    </row>
    <row r="44" spans="1:17" ht="21.95" customHeight="1" thickTop="1" thickBot="1">
      <c r="A44" s="78"/>
      <c r="B44" s="77"/>
      <c r="C44" s="77"/>
      <c r="H44" s="200"/>
      <c r="J44" s="65"/>
      <c r="L44" s="71"/>
    </row>
    <row r="45" spans="1:17" ht="21.95" customHeight="1" thickTop="1">
      <c r="A45" s="78"/>
      <c r="B45" s="77"/>
      <c r="C45" s="77"/>
      <c r="H45" s="200"/>
      <c r="I45" s="80" t="s">
        <v>171</v>
      </c>
      <c r="J45" s="79">
        <f>IFERROR(AVERAGE(J4:J19),"---")</f>
        <v>2.3568750000000001</v>
      </c>
      <c r="L45" s="71"/>
    </row>
    <row r="46" spans="1:17" ht="21.95" customHeight="1">
      <c r="A46" s="78"/>
      <c r="B46" s="77"/>
      <c r="C46" s="77"/>
      <c r="H46" s="200"/>
      <c r="I46" s="73" t="s">
        <v>170</v>
      </c>
      <c r="J46" s="76">
        <f>J45</f>
        <v>2.3568750000000001</v>
      </c>
      <c r="L46" s="71"/>
    </row>
    <row r="47" spans="1:17" ht="21.95" customHeight="1">
      <c r="H47" s="200"/>
      <c r="I47" s="73" t="s">
        <v>169</v>
      </c>
      <c r="J47" s="75">
        <f>J45</f>
        <v>2.3568750000000001</v>
      </c>
      <c r="L47" s="71"/>
    </row>
    <row r="48" spans="1:17" ht="21.95" customHeight="1">
      <c r="H48" s="200"/>
      <c r="I48" s="73" t="s">
        <v>168</v>
      </c>
      <c r="J48" s="74">
        <f>J45</f>
        <v>2.3568750000000001</v>
      </c>
      <c r="L48" s="71"/>
    </row>
    <row r="49" spans="6:20" ht="21.95" customHeight="1">
      <c r="H49" s="200"/>
      <c r="I49" s="73" t="s">
        <v>167</v>
      </c>
      <c r="J49" s="72">
        <f>J45</f>
        <v>2.3568750000000001</v>
      </c>
      <c r="L49" s="71"/>
    </row>
    <row r="50" spans="6:20" ht="21.95" customHeight="1" thickBot="1">
      <c r="H50" s="200"/>
      <c r="I50" s="70" t="s">
        <v>166</v>
      </c>
      <c r="J50" s="69">
        <f>J45</f>
        <v>2.3568750000000001</v>
      </c>
    </row>
    <row r="51" spans="6:20" ht="21.95" customHeight="1" thickTop="1" thickBot="1">
      <c r="H51" s="200"/>
      <c r="K51" s="68"/>
    </row>
    <row r="52" spans="6:20" ht="21.95" customHeight="1" thickTop="1" thickBot="1">
      <c r="H52" s="200"/>
      <c r="I52" s="67" t="s">
        <v>165</v>
      </c>
      <c r="J52" s="66"/>
    </row>
    <row r="53" spans="6:20" ht="21.95" customHeight="1" thickTop="1" thickBot="1">
      <c r="H53" s="200"/>
      <c r="J53" s="65"/>
      <c r="K53" s="64"/>
    </row>
    <row r="54" spans="6:20" ht="21.95" customHeight="1" thickTop="1">
      <c r="H54" s="200"/>
      <c r="I54" s="206" t="s">
        <v>164</v>
      </c>
      <c r="J54" s="207"/>
      <c r="K54" s="63"/>
    </row>
    <row r="55" spans="6:20" ht="21.95" customHeight="1">
      <c r="H55" s="200"/>
      <c r="I55" s="62" t="s">
        <v>163</v>
      </c>
      <c r="J55" s="61" t="str">
        <f>IF(J52*25=0,"", J52*25)</f>
        <v/>
      </c>
      <c r="K55" s="60"/>
    </row>
    <row r="56" spans="6:20" ht="20.100000000000001" customHeight="1" thickBot="1">
      <c r="H56" s="201"/>
      <c r="I56" s="59" t="s">
        <v>162</v>
      </c>
      <c r="J56" s="58" t="str">
        <f>IFERROR(J55*10,"")</f>
        <v/>
      </c>
      <c r="K56" s="57"/>
    </row>
    <row r="57" spans="6:20" ht="21.95" customHeight="1" thickTop="1">
      <c r="H57" s="56"/>
      <c r="K57" s="55"/>
    </row>
    <row r="58" spans="6:20" ht="5.0999999999999996" customHeight="1">
      <c r="F58" s="23"/>
      <c r="G58" s="23"/>
      <c r="H58" s="23"/>
      <c r="I58" s="23"/>
      <c r="J58" s="23"/>
      <c r="K58" s="23"/>
      <c r="L58" s="23"/>
      <c r="M58" s="23"/>
      <c r="N58" s="23"/>
      <c r="O58" s="23"/>
      <c r="P58" s="23"/>
      <c r="Q58" s="23"/>
    </row>
    <row r="59" spans="6:20" ht="0.95" hidden="1" customHeight="1">
      <c r="F59" s="23"/>
      <c r="G59" s="23"/>
      <c r="H59" s="54" t="s">
        <v>161</v>
      </c>
      <c r="I59" s="23">
        <f>_xlfn.STDEV.S(J4:J11)</f>
        <v>5.6184485657265137E-2</v>
      </c>
      <c r="J59" s="23"/>
      <c r="K59" s="23"/>
      <c r="L59" s="23"/>
      <c r="M59" s="23"/>
      <c r="N59" s="23"/>
      <c r="O59" s="23"/>
      <c r="P59" s="23"/>
      <c r="Q59" s="23"/>
    </row>
    <row r="60" spans="6:20" ht="0.95" hidden="1" customHeight="1">
      <c r="F60" s="23"/>
      <c r="G60" s="23"/>
      <c r="H60" s="54" t="s">
        <v>160</v>
      </c>
      <c r="I60" s="23">
        <f>_xlfn.STDEV.S(J4:J19)</f>
        <v>5.6184485657265137E-2</v>
      </c>
      <c r="J60" s="23"/>
      <c r="K60" s="23"/>
      <c r="L60" s="23"/>
      <c r="M60" s="23"/>
      <c r="N60" s="23"/>
      <c r="O60" s="23"/>
      <c r="P60" s="23"/>
      <c r="Q60" s="23"/>
    </row>
    <row r="61" spans="6:20" ht="0.95" hidden="1" customHeight="1">
      <c r="F61" s="23"/>
      <c r="G61" s="23"/>
      <c r="H61" s="23" t="s">
        <v>159</v>
      </c>
      <c r="I61" s="23"/>
      <c r="J61" s="23"/>
      <c r="K61" s="23"/>
      <c r="L61" s="23"/>
      <c r="M61" s="23"/>
      <c r="N61" s="23"/>
      <c r="O61" s="39"/>
      <c r="P61" s="39" t="s">
        <v>158</v>
      </c>
      <c r="Q61" s="39"/>
      <c r="R61" s="48" t="s">
        <v>157</v>
      </c>
      <c r="S61" s="48"/>
      <c r="T61" s="53">
        <f>P27</f>
        <v>71.977500000000006</v>
      </c>
    </row>
    <row r="62" spans="6:20" ht="0.95" hidden="1" customHeight="1">
      <c r="F62" s="23"/>
      <c r="G62" s="39" t="s">
        <v>156</v>
      </c>
      <c r="H62" s="39"/>
      <c r="I62" s="23" t="str">
        <f>IFERROR(_xlfn.STDEV.S(#REF!),"---")</f>
        <v>---</v>
      </c>
      <c r="J62" s="23"/>
      <c r="K62" s="23"/>
      <c r="L62" s="23"/>
      <c r="M62" s="23"/>
      <c r="N62" s="23"/>
      <c r="O62" s="39"/>
      <c r="P62" s="49">
        <v>145</v>
      </c>
      <c r="Q62" s="39"/>
      <c r="R62" s="48" t="s">
        <v>155</v>
      </c>
      <c r="S62" s="48"/>
      <c r="T62" s="50">
        <f>COUNTA(P4:P23)</f>
        <v>20</v>
      </c>
    </row>
    <row r="63" spans="6:20" ht="0.95" hidden="1" customHeight="1">
      <c r="F63" s="23"/>
      <c r="G63" s="39">
        <v>1</v>
      </c>
      <c r="H63" s="47">
        <f t="shared" ref="H63:H78" si="6">J4</f>
        <v>2.3660000000000001</v>
      </c>
      <c r="I63" s="23">
        <f>IFERROR(_xlfn.STDEV.S(J4:J19),"---")</f>
        <v>5.6184485657265137E-2</v>
      </c>
      <c r="J63" s="23"/>
      <c r="K63" s="23"/>
      <c r="L63" s="23"/>
      <c r="M63" s="23"/>
      <c r="N63" s="23"/>
      <c r="O63" s="39"/>
      <c r="P63" s="49">
        <v>125</v>
      </c>
      <c r="Q63" s="39"/>
      <c r="R63" s="48" t="s">
        <v>154</v>
      </c>
      <c r="S63" s="48"/>
      <c r="T63" s="50">
        <f>T61</f>
        <v>71.977500000000006</v>
      </c>
    </row>
    <row r="64" spans="6:20" ht="0.95" hidden="1" customHeight="1">
      <c r="F64" s="23"/>
      <c r="G64" s="39">
        <v>2</v>
      </c>
      <c r="H64" s="47">
        <f t="shared" si="6"/>
        <v>2.294</v>
      </c>
      <c r="I64" s="23">
        <v>16</v>
      </c>
      <c r="J64" s="23"/>
      <c r="K64" s="23"/>
      <c r="L64" s="23"/>
      <c r="M64" s="23"/>
      <c r="N64" s="23"/>
      <c r="O64" s="39"/>
      <c r="P64" s="49">
        <v>190</v>
      </c>
      <c r="Q64" s="39"/>
      <c r="R64" s="48" t="s">
        <v>153</v>
      </c>
      <c r="S64" s="48"/>
      <c r="T64" s="50">
        <f>_xlfn.STDEV.S(P4:P23)</f>
        <v>14.246348331747075</v>
      </c>
    </row>
    <row r="65" spans="6:20" ht="0.95" hidden="1" customHeight="1">
      <c r="F65" s="23"/>
      <c r="G65" s="39">
        <v>3</v>
      </c>
      <c r="H65" s="47">
        <f t="shared" si="6"/>
        <v>2.4670000000000001</v>
      </c>
      <c r="I65" s="23"/>
      <c r="J65" s="37"/>
      <c r="K65" s="52" t="s">
        <v>152</v>
      </c>
      <c r="L65" s="23"/>
      <c r="M65" s="23"/>
      <c r="N65" s="23"/>
      <c r="O65" s="39"/>
      <c r="P65" s="49">
        <v>135</v>
      </c>
      <c r="Q65" s="39"/>
      <c r="R65" s="48" t="s">
        <v>127</v>
      </c>
      <c r="S65" s="48"/>
      <c r="T65" s="50">
        <f>T62-1</f>
        <v>19</v>
      </c>
    </row>
    <row r="66" spans="6:20" ht="0.95" hidden="1" customHeight="1">
      <c r="F66" s="23"/>
      <c r="G66" s="39">
        <v>4</v>
      </c>
      <c r="H66" s="47">
        <f t="shared" si="6"/>
        <v>2.3420000000000001</v>
      </c>
      <c r="I66" s="23"/>
      <c r="J66" s="33">
        <v>1</v>
      </c>
      <c r="K66" s="44">
        <f t="shared" ref="K66:K81" si="7">LARGE(H$63:H$78,J66)</f>
        <v>2.4670000000000001</v>
      </c>
      <c r="L66" s="23"/>
      <c r="M66" s="23"/>
      <c r="N66" s="23"/>
      <c r="O66" s="39"/>
      <c r="P66" s="49">
        <v>220</v>
      </c>
      <c r="Q66" s="39"/>
      <c r="R66" s="48" t="s">
        <v>151</v>
      </c>
      <c r="S66" s="48"/>
      <c r="T66" s="51" t="s">
        <v>150</v>
      </c>
    </row>
    <row r="67" spans="6:20" ht="33.950000000000003" hidden="1" customHeight="1">
      <c r="F67" s="23"/>
      <c r="G67" s="39">
        <v>5</v>
      </c>
      <c r="H67" s="47">
        <f t="shared" si="6"/>
        <v>2.2959999999999998</v>
      </c>
      <c r="I67" s="23"/>
      <c r="J67" s="33">
        <v>2</v>
      </c>
      <c r="K67" s="44">
        <f t="shared" si="7"/>
        <v>2.3879999999999999</v>
      </c>
      <c r="L67" s="23"/>
      <c r="M67" s="23"/>
      <c r="N67" s="23"/>
      <c r="O67" s="39"/>
      <c r="P67" s="49">
        <v>130</v>
      </c>
      <c r="Q67" s="39"/>
      <c r="R67" s="48"/>
      <c r="S67" s="48"/>
      <c r="T67" s="51"/>
    </row>
    <row r="68" spans="6:20" ht="33.950000000000003" hidden="1" customHeight="1">
      <c r="F68" s="23"/>
      <c r="G68" s="39">
        <v>6</v>
      </c>
      <c r="H68" s="47">
        <f t="shared" si="6"/>
        <v>2.3879999999999999</v>
      </c>
      <c r="I68" s="23"/>
      <c r="J68" s="33">
        <v>3</v>
      </c>
      <c r="K68" s="44">
        <f t="shared" si="7"/>
        <v>2.3730000000000002</v>
      </c>
      <c r="L68" s="23"/>
      <c r="M68" s="23"/>
      <c r="N68" s="23"/>
      <c r="O68" s="39"/>
      <c r="P68" s="49">
        <v>210</v>
      </c>
      <c r="Q68" s="39"/>
      <c r="R68" s="48"/>
      <c r="S68" s="48"/>
      <c r="T68" s="51"/>
    </row>
    <row r="69" spans="6:20" ht="33.950000000000003" hidden="1" customHeight="1">
      <c r="F69" s="23"/>
      <c r="G69" s="39">
        <v>7</v>
      </c>
      <c r="H69" s="47">
        <f t="shared" si="6"/>
        <v>2.3730000000000002</v>
      </c>
      <c r="I69" s="23"/>
      <c r="J69" s="33">
        <v>4</v>
      </c>
      <c r="K69" s="44">
        <f t="shared" si="7"/>
        <v>2.3660000000000001</v>
      </c>
      <c r="L69" s="23"/>
      <c r="M69" s="23"/>
      <c r="N69" s="23"/>
      <c r="O69" s="39"/>
      <c r="P69" s="49">
        <v>3</v>
      </c>
      <c r="Q69" s="39"/>
      <c r="R69" s="48" t="s">
        <v>149</v>
      </c>
      <c r="S69" s="48"/>
      <c r="T69" s="51" t="s">
        <v>148</v>
      </c>
    </row>
    <row r="70" spans="6:20" ht="33.950000000000003" hidden="1" customHeight="1">
      <c r="F70" s="23"/>
      <c r="G70" s="39">
        <v>8</v>
      </c>
      <c r="H70" s="47">
        <f t="shared" si="6"/>
        <v>2.3290000000000002</v>
      </c>
      <c r="I70" s="23"/>
      <c r="J70" s="33">
        <v>5</v>
      </c>
      <c r="K70" s="44">
        <f t="shared" si="7"/>
        <v>2.3420000000000001</v>
      </c>
      <c r="L70" s="23"/>
      <c r="M70" s="23"/>
      <c r="N70" s="23"/>
      <c r="O70" s="39"/>
      <c r="P70" s="49">
        <v>165</v>
      </c>
      <c r="Q70" s="39"/>
      <c r="R70" s="48" t="s">
        <v>147</v>
      </c>
      <c r="S70" s="48"/>
      <c r="T70" s="50">
        <f>T64/SQRT(T62)</f>
        <v>3.1855803300927183</v>
      </c>
    </row>
    <row r="71" spans="6:20" ht="33.950000000000003" hidden="1" customHeight="1">
      <c r="F71" s="23"/>
      <c r="G71" s="39">
        <v>9</v>
      </c>
      <c r="H71" s="47">
        <f t="shared" si="6"/>
        <v>0</v>
      </c>
      <c r="I71" s="23"/>
      <c r="J71" s="33">
        <v>6</v>
      </c>
      <c r="K71" s="44">
        <f t="shared" si="7"/>
        <v>2.3290000000000002</v>
      </c>
      <c r="L71" s="23"/>
      <c r="M71" s="23"/>
      <c r="N71" s="23"/>
      <c r="O71" s="39"/>
      <c r="P71" s="49">
        <v>165</v>
      </c>
      <c r="Q71" s="39"/>
      <c r="R71" s="48" t="s">
        <v>146</v>
      </c>
      <c r="S71" s="48"/>
      <c r="T71" s="50">
        <f>_xlfn.T.INV(0.05,T65)</f>
        <v>-1.7291328115213698</v>
      </c>
    </row>
    <row r="72" spans="6:20" ht="33.950000000000003" hidden="1" customHeight="1">
      <c r="F72" s="23"/>
      <c r="G72" s="39">
        <v>10</v>
      </c>
      <c r="H72" s="47">
        <f t="shared" si="6"/>
        <v>0</v>
      </c>
      <c r="I72" s="23"/>
      <c r="J72" s="33">
        <v>7</v>
      </c>
      <c r="K72" s="44">
        <f t="shared" si="7"/>
        <v>2.2959999999999998</v>
      </c>
      <c r="L72" s="23"/>
      <c r="M72" s="23"/>
      <c r="N72" s="23"/>
      <c r="O72" s="39"/>
      <c r="P72" s="49">
        <v>150</v>
      </c>
      <c r="Q72" s="39"/>
      <c r="R72" s="48" t="s">
        <v>145</v>
      </c>
      <c r="S72" s="48"/>
      <c r="T72" s="48">
        <f>T63-(T71*T70)</f>
        <v>77.485791472500395</v>
      </c>
    </row>
    <row r="73" spans="6:20" ht="33.950000000000003" hidden="1" customHeight="1">
      <c r="F73" s="23"/>
      <c r="G73" s="39">
        <v>11</v>
      </c>
      <c r="H73" s="47">
        <f t="shared" si="6"/>
        <v>0</v>
      </c>
      <c r="I73" s="23"/>
      <c r="J73" s="33">
        <v>8</v>
      </c>
      <c r="K73" s="44">
        <f t="shared" si="7"/>
        <v>2.294</v>
      </c>
      <c r="L73" s="23"/>
      <c r="M73" s="23"/>
      <c r="N73" s="23"/>
      <c r="O73" s="39" t="s">
        <v>134</v>
      </c>
      <c r="P73" s="39">
        <f>AVERAGE(P62:P72)</f>
        <v>148.90909090909091</v>
      </c>
      <c r="Q73" s="39"/>
      <c r="R73" s="48" t="s">
        <v>144</v>
      </c>
      <c r="S73" s="48"/>
      <c r="T73" s="48">
        <f>T63+(T71*T70)</f>
        <v>66.469208527499617</v>
      </c>
    </row>
    <row r="74" spans="6:20" ht="33.950000000000003" hidden="1" customHeight="1">
      <c r="F74" s="23"/>
      <c r="G74" s="39">
        <v>12</v>
      </c>
      <c r="H74" s="47">
        <f t="shared" si="6"/>
        <v>0</v>
      </c>
      <c r="I74" s="23"/>
      <c r="J74" s="33">
        <v>9</v>
      </c>
      <c r="K74" s="44">
        <f t="shared" si="7"/>
        <v>0</v>
      </c>
      <c r="L74" s="23"/>
      <c r="M74" s="23"/>
      <c r="N74" s="23"/>
      <c r="O74" s="39" t="s">
        <v>25</v>
      </c>
      <c r="P74" s="39">
        <f>_xlfn.STDEV.S(P62:P72)</f>
        <v>57.810820000160085</v>
      </c>
      <c r="Q74" s="39"/>
    </row>
    <row r="75" spans="6:20" ht="3" hidden="1" customHeight="1">
      <c r="F75" s="23"/>
      <c r="G75" s="39">
        <v>13</v>
      </c>
      <c r="H75" s="47">
        <f t="shared" si="6"/>
        <v>0</v>
      </c>
      <c r="I75" s="23"/>
      <c r="J75" s="33">
        <v>10</v>
      </c>
      <c r="K75" s="44">
        <f t="shared" si="7"/>
        <v>0</v>
      </c>
      <c r="L75" s="23"/>
      <c r="M75" s="23"/>
      <c r="N75" s="23"/>
      <c r="O75" s="39" t="s">
        <v>133</v>
      </c>
      <c r="P75" s="39">
        <f>MIN(P62:P72)</f>
        <v>3</v>
      </c>
      <c r="Q75" s="39"/>
    </row>
    <row r="76" spans="6:20" ht="0.95" hidden="1" customHeight="1">
      <c r="F76" s="23"/>
      <c r="G76" s="39">
        <v>14</v>
      </c>
      <c r="H76" s="47">
        <f t="shared" si="6"/>
        <v>0</v>
      </c>
      <c r="I76" s="23"/>
      <c r="J76" s="33">
        <v>11</v>
      </c>
      <c r="K76" s="44">
        <f t="shared" si="7"/>
        <v>0</v>
      </c>
      <c r="L76" s="23"/>
      <c r="M76" s="23"/>
      <c r="N76" s="23"/>
      <c r="O76" s="39" t="s">
        <v>129</v>
      </c>
      <c r="P76" s="39">
        <f>(P73-P75)/P74</f>
        <v>2.5239062671777854</v>
      </c>
      <c r="Q76" s="39"/>
    </row>
    <row r="77" spans="6:20" ht="0.95" hidden="1" customHeight="1">
      <c r="F77" s="23"/>
      <c r="G77" s="39">
        <v>15</v>
      </c>
      <c r="H77" s="47">
        <f t="shared" si="6"/>
        <v>0</v>
      </c>
      <c r="I77" s="23"/>
      <c r="J77" s="33">
        <v>12</v>
      </c>
      <c r="K77" s="44">
        <f t="shared" si="7"/>
        <v>0</v>
      </c>
      <c r="L77" s="23"/>
      <c r="M77" s="23"/>
      <c r="N77" s="23"/>
      <c r="O77" s="39" t="s">
        <v>143</v>
      </c>
      <c r="P77" s="39">
        <v>0.05</v>
      </c>
      <c r="Q77" s="39"/>
    </row>
    <row r="78" spans="6:20" ht="0.95" hidden="1" customHeight="1">
      <c r="F78" s="23"/>
      <c r="G78" s="39">
        <v>16</v>
      </c>
      <c r="H78" s="47">
        <f t="shared" si="6"/>
        <v>0</v>
      </c>
      <c r="I78" s="23"/>
      <c r="J78" s="33">
        <v>13</v>
      </c>
      <c r="K78" s="44">
        <f t="shared" si="7"/>
        <v>0</v>
      </c>
      <c r="L78" s="23"/>
      <c r="M78" s="23"/>
      <c r="N78" s="23"/>
      <c r="O78" s="39" t="s">
        <v>128</v>
      </c>
      <c r="P78" s="39">
        <v>11</v>
      </c>
      <c r="Q78" s="46" t="s">
        <v>134</v>
      </c>
    </row>
    <row r="79" spans="6:20" ht="0.95" hidden="1" customHeight="1">
      <c r="F79" s="23"/>
      <c r="G79" s="23"/>
      <c r="H79" s="26"/>
      <c r="I79" s="23"/>
      <c r="J79" s="33">
        <v>14</v>
      </c>
      <c r="K79" s="44">
        <f t="shared" si="7"/>
        <v>0</v>
      </c>
      <c r="L79" s="23"/>
      <c r="M79" s="23"/>
      <c r="N79" s="23"/>
      <c r="O79" s="39" t="s">
        <v>140</v>
      </c>
      <c r="P79" s="39">
        <f>P77/P78</f>
        <v>4.5454545454545461E-3</v>
      </c>
      <c r="Q79" s="45" t="s">
        <v>25</v>
      </c>
    </row>
    <row r="80" spans="6:20" ht="0.95" hidden="1" customHeight="1">
      <c r="F80" s="23"/>
      <c r="G80" s="23"/>
      <c r="H80" s="26"/>
      <c r="I80" s="23"/>
      <c r="J80" s="33">
        <v>15</v>
      </c>
      <c r="K80" s="44">
        <f t="shared" si="7"/>
        <v>0</v>
      </c>
      <c r="L80" s="23"/>
      <c r="M80" s="23"/>
      <c r="N80" s="23"/>
      <c r="O80" s="39" t="s">
        <v>127</v>
      </c>
      <c r="P80" s="39">
        <f>P78-2</f>
        <v>9</v>
      </c>
      <c r="Q80" s="45" t="s">
        <v>133</v>
      </c>
    </row>
    <row r="81" spans="6:17" ht="0.95" hidden="1" customHeight="1">
      <c r="F81" s="23"/>
      <c r="G81" s="23"/>
      <c r="H81" s="23"/>
      <c r="I81" s="23"/>
      <c r="J81" s="33">
        <v>16</v>
      </c>
      <c r="K81" s="44">
        <f t="shared" si="7"/>
        <v>0</v>
      </c>
      <c r="L81" s="23"/>
      <c r="M81" s="23"/>
      <c r="N81" s="23"/>
      <c r="O81" s="39" t="s">
        <v>126</v>
      </c>
      <c r="P81" s="39">
        <f>_xlfn.T.INV(1-P79,P80)</f>
        <v>3.3095169292973794</v>
      </c>
      <c r="Q81" s="41" t="s">
        <v>142</v>
      </c>
    </row>
    <row r="82" spans="6:17" ht="0.95" hidden="1" customHeight="1">
      <c r="F82" s="23"/>
      <c r="G82" s="23"/>
      <c r="H82" s="23"/>
      <c r="I82" s="23"/>
      <c r="J82" s="31" t="s">
        <v>135</v>
      </c>
      <c r="K82" s="43">
        <v>0.05</v>
      </c>
      <c r="L82" s="23"/>
      <c r="M82" s="23"/>
      <c r="N82" s="23"/>
      <c r="O82" s="39" t="s">
        <v>125</v>
      </c>
      <c r="P82" s="39">
        <f>(P78-1)*P81/SQRT(P78*(P80+(P81^2)))</f>
        <v>2.2339077064682873</v>
      </c>
      <c r="Q82" s="41" t="s">
        <v>129</v>
      </c>
    </row>
    <row r="83" spans="6:17" ht="0.95" hidden="1" customHeight="1">
      <c r="F83" s="23"/>
      <c r="G83" s="23"/>
      <c r="H83" s="23"/>
      <c r="I83" s="23"/>
      <c r="J83" s="25" t="s">
        <v>134</v>
      </c>
      <c r="K83" s="42">
        <f>AVERAGE(K66:K81)</f>
        <v>1.1784375000000002</v>
      </c>
      <c r="L83" s="23"/>
      <c r="M83" s="23"/>
      <c r="N83" s="23"/>
      <c r="O83" s="39"/>
      <c r="P83" s="39"/>
      <c r="Q83" s="41" t="s">
        <v>135</v>
      </c>
    </row>
    <row r="84" spans="6:17" ht="0.95" hidden="1" customHeight="1">
      <c r="F84" s="23"/>
      <c r="G84" s="23"/>
      <c r="H84" s="23"/>
      <c r="I84" s="23"/>
      <c r="J84" s="25" t="s">
        <v>25</v>
      </c>
      <c r="K84" s="38">
        <f>_xlfn.STDEV.S(K66:K81)</f>
        <v>1.2176900519015501</v>
      </c>
      <c r="L84" s="23"/>
      <c r="M84" s="23"/>
      <c r="N84" s="23"/>
      <c r="O84" s="39"/>
      <c r="P84" s="39"/>
      <c r="Q84" s="41" t="s">
        <v>141</v>
      </c>
    </row>
    <row r="85" spans="6:17" ht="33.950000000000003" hidden="1" customHeight="1">
      <c r="F85" s="23"/>
      <c r="G85" s="23"/>
      <c r="H85" s="23"/>
      <c r="I85" s="23"/>
      <c r="J85" s="25" t="s">
        <v>133</v>
      </c>
      <c r="K85" s="42">
        <f>MIN(K66:K81)</f>
        <v>0</v>
      </c>
      <c r="L85" s="23"/>
      <c r="M85" s="23"/>
      <c r="N85" s="23"/>
      <c r="O85" s="39"/>
      <c r="P85" s="39"/>
      <c r="Q85" s="41" t="s">
        <v>140</v>
      </c>
    </row>
    <row r="86" spans="6:17" ht="33.950000000000003" hidden="1" customHeight="1">
      <c r="F86" s="23"/>
      <c r="G86" s="23"/>
      <c r="H86" s="23"/>
      <c r="I86" s="23"/>
      <c r="J86" s="25" t="s">
        <v>132</v>
      </c>
      <c r="K86" s="42">
        <f>MAX(K66:K81)</f>
        <v>2.4670000000000001</v>
      </c>
      <c r="L86" s="23"/>
      <c r="M86" s="23"/>
      <c r="N86" s="23"/>
      <c r="O86" s="39"/>
      <c r="P86" s="39"/>
      <c r="Q86" s="41" t="s">
        <v>127</v>
      </c>
    </row>
    <row r="87" spans="6:17" ht="33.950000000000003" hidden="1" customHeight="1">
      <c r="F87" s="23"/>
      <c r="G87" s="23"/>
      <c r="H87" s="23"/>
      <c r="I87" s="23"/>
      <c r="J87" s="25" t="s">
        <v>131</v>
      </c>
      <c r="K87" s="40">
        <f>K83-K85</f>
        <v>1.1784375000000002</v>
      </c>
      <c r="L87" s="23"/>
      <c r="M87" s="23"/>
      <c r="N87" s="23"/>
      <c r="O87" s="39"/>
      <c r="P87" s="39"/>
      <c r="Q87" s="39" t="s">
        <v>126</v>
      </c>
    </row>
    <row r="88" spans="6:17" ht="33.950000000000003" hidden="1" customHeight="1">
      <c r="F88" s="23"/>
      <c r="G88" s="23"/>
      <c r="H88" s="23"/>
      <c r="I88" s="23"/>
      <c r="J88" s="25" t="s">
        <v>130</v>
      </c>
      <c r="K88" s="40">
        <f>K86-K83</f>
        <v>1.2885624999999998</v>
      </c>
      <c r="L88" s="23"/>
      <c r="M88" s="23"/>
      <c r="N88" s="23"/>
      <c r="O88" s="39"/>
      <c r="P88" s="39"/>
      <c r="Q88" s="39" t="s">
        <v>139</v>
      </c>
    </row>
    <row r="89" spans="6:17" ht="33.950000000000003" hidden="1" customHeight="1">
      <c r="F89" s="23"/>
      <c r="G89" s="23"/>
      <c r="H89" s="23"/>
      <c r="I89" s="23"/>
      <c r="J89" s="25" t="s">
        <v>129</v>
      </c>
      <c r="K89" s="38">
        <f>MAX(K87:K88)/K84</f>
        <v>1.0582023709463464</v>
      </c>
      <c r="L89" s="23"/>
      <c r="M89" s="23"/>
      <c r="N89" s="23"/>
      <c r="O89" s="39"/>
      <c r="P89" s="39"/>
      <c r="Q89" s="39"/>
    </row>
    <row r="90" spans="6:17" ht="33.950000000000003" hidden="1" customHeight="1">
      <c r="F90" s="23"/>
      <c r="G90" s="23"/>
      <c r="H90" s="23"/>
      <c r="I90" s="23"/>
      <c r="J90" s="25" t="s">
        <v>128</v>
      </c>
      <c r="K90" s="38">
        <f>COUNT(K66:K81)</f>
        <v>16</v>
      </c>
      <c r="L90" s="23"/>
      <c r="M90" s="23"/>
      <c r="N90" s="23"/>
      <c r="O90" s="39"/>
      <c r="P90" s="39"/>
      <c r="Q90" s="39"/>
    </row>
    <row r="91" spans="6:17" ht="33.950000000000003" hidden="1" customHeight="1">
      <c r="F91" s="23"/>
      <c r="G91" s="23"/>
      <c r="H91" s="23"/>
      <c r="I91" s="23"/>
      <c r="J91" s="25" t="s">
        <v>124</v>
      </c>
      <c r="K91" s="38">
        <f>K82/K90</f>
        <v>3.1250000000000002E-3</v>
      </c>
      <c r="L91" s="23"/>
      <c r="M91" s="23"/>
      <c r="N91" s="23"/>
      <c r="O91" s="39"/>
      <c r="P91" s="39"/>
      <c r="Q91" s="39"/>
    </row>
    <row r="92" spans="6:17" ht="33.950000000000003" hidden="1" customHeight="1">
      <c r="F92" s="23"/>
      <c r="G92" s="23"/>
      <c r="H92" s="23"/>
      <c r="I92" s="23"/>
      <c r="J92" s="25" t="s">
        <v>127</v>
      </c>
      <c r="K92" s="38">
        <f>K90-2</f>
        <v>14</v>
      </c>
      <c r="L92" s="23"/>
      <c r="M92" s="23"/>
      <c r="N92" s="23"/>
      <c r="O92" s="23"/>
      <c r="P92" s="23"/>
      <c r="Q92" s="23"/>
    </row>
    <row r="93" spans="6:17" ht="33.950000000000003" hidden="1" customHeight="1">
      <c r="F93" s="23"/>
      <c r="G93" s="23"/>
      <c r="H93" s="23"/>
      <c r="I93" s="23"/>
      <c r="J93" s="25" t="s">
        <v>126</v>
      </c>
      <c r="K93" s="38">
        <f>TINV(K91,K92)</f>
        <v>3.5620894950023954</v>
      </c>
      <c r="L93" s="23"/>
      <c r="M93" s="23"/>
      <c r="N93" s="23"/>
      <c r="O93" s="23"/>
      <c r="P93" s="23"/>
      <c r="Q93" s="23"/>
    </row>
    <row r="94" spans="6:17" ht="33.950000000000003" hidden="1" customHeight="1">
      <c r="F94" s="23"/>
      <c r="G94" s="23"/>
      <c r="H94" s="23"/>
      <c r="I94" s="23"/>
      <c r="J94" s="25" t="s">
        <v>125</v>
      </c>
      <c r="K94" s="38">
        <f>(K90-1)*K93/SQRT(K90*(K92+K93^2))</f>
        <v>2.5856763406719638</v>
      </c>
      <c r="L94" s="23"/>
      <c r="M94" s="23"/>
      <c r="N94" s="23"/>
      <c r="O94" s="23"/>
      <c r="P94" s="23"/>
      <c r="Q94" s="23"/>
    </row>
    <row r="95" spans="6:17" ht="33.950000000000003" hidden="1" customHeight="1">
      <c r="F95" s="23"/>
      <c r="G95" s="23"/>
      <c r="H95" s="23"/>
      <c r="I95" s="23"/>
      <c r="J95" s="25" t="s">
        <v>124</v>
      </c>
      <c r="K95" s="38" t="str">
        <f>IF(K89&gt;K94,"YES","NO")</f>
        <v>NO</v>
      </c>
      <c r="L95" s="23"/>
      <c r="M95" s="23"/>
      <c r="N95" s="23"/>
      <c r="O95" s="23"/>
      <c r="P95" s="23"/>
      <c r="Q95" s="23"/>
    </row>
    <row r="96" spans="6:17" ht="33.950000000000003" hidden="1" customHeight="1">
      <c r="F96" s="23"/>
      <c r="G96" s="23"/>
      <c r="H96" s="26"/>
      <c r="I96" s="23"/>
      <c r="J96" s="26"/>
      <c r="K96" s="23"/>
      <c r="L96" s="23"/>
      <c r="M96" s="23"/>
      <c r="N96" s="23"/>
      <c r="O96" s="23"/>
      <c r="P96" s="23"/>
      <c r="Q96" s="23"/>
    </row>
    <row r="97" spans="6:17" ht="33.950000000000003" hidden="1" customHeight="1">
      <c r="F97" s="23"/>
      <c r="G97" s="23"/>
      <c r="H97" s="29"/>
      <c r="I97" s="23"/>
      <c r="J97" s="37"/>
      <c r="K97" s="36" t="s">
        <v>138</v>
      </c>
      <c r="L97" s="23"/>
      <c r="M97" s="23"/>
      <c r="N97" s="23"/>
      <c r="O97" s="23"/>
      <c r="P97" s="23"/>
      <c r="Q97" s="23"/>
    </row>
    <row r="98" spans="6:17" ht="11.1" hidden="1" customHeight="1">
      <c r="F98" s="23"/>
      <c r="G98" s="23"/>
      <c r="H98" s="29"/>
      <c r="I98" s="23"/>
      <c r="J98" s="33">
        <v>1</v>
      </c>
      <c r="K98" s="32">
        <f t="shared" ref="K98:K112" si="8">K67</f>
        <v>2.3879999999999999</v>
      </c>
      <c r="L98" s="23"/>
      <c r="M98" s="23"/>
      <c r="N98" s="23"/>
      <c r="O98" s="23"/>
      <c r="P98" s="23"/>
      <c r="Q98" s="23"/>
    </row>
    <row r="99" spans="6:17" ht="0.95" hidden="1" customHeight="1">
      <c r="F99" s="23"/>
      <c r="G99" s="23"/>
      <c r="H99" s="29"/>
      <c r="I99" s="23"/>
      <c r="J99" s="33">
        <v>2</v>
      </c>
      <c r="K99" s="32">
        <f t="shared" si="8"/>
        <v>2.3730000000000002</v>
      </c>
      <c r="L99" s="23"/>
      <c r="M99" s="23"/>
      <c r="N99" s="23"/>
      <c r="O99" s="23"/>
      <c r="P99" s="23"/>
      <c r="Q99" s="23"/>
    </row>
    <row r="100" spans="6:17" ht="0.95" hidden="1" customHeight="1">
      <c r="F100" s="23"/>
      <c r="G100" s="23"/>
      <c r="H100" s="29"/>
      <c r="I100" s="23"/>
      <c r="J100" s="33">
        <v>3</v>
      </c>
      <c r="K100" s="32">
        <f t="shared" si="8"/>
        <v>2.3660000000000001</v>
      </c>
      <c r="L100" s="23"/>
      <c r="M100" s="23"/>
      <c r="N100" s="23"/>
      <c r="O100" s="23"/>
      <c r="P100" s="23"/>
      <c r="Q100" s="23"/>
    </row>
    <row r="101" spans="6:17" ht="0.95" hidden="1" customHeight="1">
      <c r="F101" s="23"/>
      <c r="G101" s="23"/>
      <c r="H101" s="29"/>
      <c r="I101" s="23"/>
      <c r="J101" s="33">
        <v>4</v>
      </c>
      <c r="K101" s="32">
        <f t="shared" si="8"/>
        <v>2.3420000000000001</v>
      </c>
      <c r="L101" s="23"/>
      <c r="M101" s="23"/>
      <c r="N101" s="23"/>
      <c r="O101" s="23"/>
      <c r="P101" s="23"/>
      <c r="Q101" s="23"/>
    </row>
    <row r="102" spans="6:17" ht="0.95" hidden="1" customHeight="1">
      <c r="F102" s="23"/>
      <c r="G102" s="23"/>
      <c r="H102" s="29"/>
      <c r="I102" s="23"/>
      <c r="J102" s="33">
        <v>5</v>
      </c>
      <c r="K102" s="32">
        <f t="shared" si="8"/>
        <v>2.3290000000000002</v>
      </c>
      <c r="L102" s="23"/>
      <c r="M102" s="23"/>
      <c r="N102" s="23"/>
      <c r="O102" s="23"/>
      <c r="P102" s="23"/>
      <c r="Q102" s="23"/>
    </row>
    <row r="103" spans="6:17" ht="0.95" hidden="1" customHeight="1">
      <c r="F103" s="23"/>
      <c r="G103" s="23"/>
      <c r="H103" s="29"/>
      <c r="I103" s="23"/>
      <c r="J103" s="33">
        <v>6</v>
      </c>
      <c r="K103" s="32">
        <f t="shared" si="8"/>
        <v>2.2959999999999998</v>
      </c>
      <c r="L103" s="23"/>
      <c r="M103" s="23"/>
      <c r="N103" s="23"/>
      <c r="O103" s="23"/>
      <c r="P103" s="23"/>
      <c r="Q103" s="23"/>
    </row>
    <row r="104" spans="6:17" ht="0.95" hidden="1" customHeight="1">
      <c r="F104" s="23"/>
      <c r="G104" s="23"/>
      <c r="H104" s="29"/>
      <c r="I104" s="23"/>
      <c r="J104" s="33">
        <v>7</v>
      </c>
      <c r="K104" s="32">
        <f t="shared" si="8"/>
        <v>2.294</v>
      </c>
      <c r="L104" s="23"/>
      <c r="M104" s="23"/>
      <c r="N104" s="23"/>
      <c r="O104" s="23"/>
      <c r="P104" s="23"/>
      <c r="Q104" s="23"/>
    </row>
    <row r="105" spans="6:17" ht="0.95" hidden="1" customHeight="1">
      <c r="F105" s="23"/>
      <c r="G105" s="23"/>
      <c r="H105" s="29"/>
      <c r="I105" s="23"/>
      <c r="J105" s="33">
        <v>8</v>
      </c>
      <c r="K105" s="32">
        <f t="shared" si="8"/>
        <v>0</v>
      </c>
      <c r="L105" s="23"/>
      <c r="M105" s="23"/>
      <c r="N105" s="23"/>
      <c r="O105" s="23"/>
      <c r="P105" s="23"/>
      <c r="Q105" s="23"/>
    </row>
    <row r="106" spans="6:17" ht="0.95" hidden="1" customHeight="1">
      <c r="F106" s="23"/>
      <c r="G106" s="23"/>
      <c r="H106" s="29"/>
      <c r="I106" s="23"/>
      <c r="J106" s="33">
        <v>9</v>
      </c>
      <c r="K106" s="32">
        <f t="shared" si="8"/>
        <v>0</v>
      </c>
      <c r="L106" s="23"/>
      <c r="M106" s="23"/>
      <c r="N106" s="23"/>
      <c r="O106" s="23"/>
      <c r="P106" s="23"/>
      <c r="Q106" s="23"/>
    </row>
    <row r="107" spans="6:17" ht="0.95" hidden="1" customHeight="1">
      <c r="F107" s="23"/>
      <c r="G107" s="23"/>
      <c r="H107" s="29"/>
      <c r="I107" s="23"/>
      <c r="J107" s="33">
        <v>10</v>
      </c>
      <c r="K107" s="32">
        <f t="shared" si="8"/>
        <v>0</v>
      </c>
      <c r="L107" s="23"/>
      <c r="M107" s="23"/>
      <c r="N107" s="23"/>
      <c r="O107" s="23"/>
      <c r="P107" s="23"/>
      <c r="Q107" s="23"/>
    </row>
    <row r="108" spans="6:17" ht="0.95" hidden="1" customHeight="1">
      <c r="F108" s="23"/>
      <c r="G108" s="23"/>
      <c r="H108" s="29"/>
      <c r="I108" s="23"/>
      <c r="J108" s="33">
        <v>11</v>
      </c>
      <c r="K108" s="32">
        <f t="shared" si="8"/>
        <v>0</v>
      </c>
      <c r="L108" s="23"/>
      <c r="M108" s="23"/>
      <c r="N108" s="23"/>
      <c r="O108" s="23"/>
      <c r="P108" s="23"/>
      <c r="Q108" s="23"/>
    </row>
    <row r="109" spans="6:17" ht="0.95" hidden="1" customHeight="1">
      <c r="F109" s="23"/>
      <c r="G109" s="23"/>
      <c r="H109" s="29"/>
      <c r="I109" s="23"/>
      <c r="J109" s="33">
        <v>12</v>
      </c>
      <c r="K109" s="32">
        <f t="shared" si="8"/>
        <v>0</v>
      </c>
      <c r="L109" s="23"/>
      <c r="M109" s="23"/>
      <c r="N109" s="23"/>
      <c r="O109" s="23"/>
      <c r="P109" s="23"/>
      <c r="Q109" s="23"/>
    </row>
    <row r="110" spans="6:17" ht="0.95" hidden="1" customHeight="1">
      <c r="F110" s="23"/>
      <c r="G110" s="23"/>
      <c r="H110" s="29"/>
      <c r="I110" s="23"/>
      <c r="J110" s="33">
        <v>13</v>
      </c>
      <c r="K110" s="32">
        <f t="shared" si="8"/>
        <v>0</v>
      </c>
      <c r="L110" s="23"/>
      <c r="M110" s="23"/>
      <c r="N110" s="23"/>
      <c r="O110" s="23"/>
      <c r="P110" s="23"/>
      <c r="Q110" s="23"/>
    </row>
    <row r="111" spans="6:17" ht="0.95" hidden="1" customHeight="1">
      <c r="F111" s="23"/>
      <c r="G111" s="23"/>
      <c r="H111" s="29"/>
      <c r="I111" s="23"/>
      <c r="J111" s="33">
        <v>14</v>
      </c>
      <c r="K111" s="32">
        <f t="shared" si="8"/>
        <v>0</v>
      </c>
      <c r="L111" s="23"/>
      <c r="M111" s="23"/>
      <c r="N111" s="23"/>
      <c r="O111" s="23"/>
      <c r="P111" s="23"/>
      <c r="Q111" s="23"/>
    </row>
    <row r="112" spans="6:17" ht="3" hidden="1" customHeight="1">
      <c r="F112" s="23"/>
      <c r="G112" s="23"/>
      <c r="H112" s="23"/>
      <c r="I112" s="23"/>
      <c r="J112" s="33">
        <v>15</v>
      </c>
      <c r="K112" s="32">
        <f t="shared" si="8"/>
        <v>0</v>
      </c>
      <c r="L112" s="23"/>
      <c r="M112" s="23"/>
      <c r="N112" s="23"/>
      <c r="O112" s="23"/>
      <c r="P112" s="23"/>
      <c r="Q112" s="23"/>
    </row>
    <row r="113" spans="6:17" ht="0.95" hidden="1" customHeight="1">
      <c r="F113" s="23"/>
      <c r="G113" s="23"/>
      <c r="H113" s="23"/>
      <c r="I113" s="23"/>
      <c r="J113" s="31" t="s">
        <v>135</v>
      </c>
      <c r="K113" s="30">
        <v>0.05</v>
      </c>
      <c r="L113" s="23"/>
      <c r="M113" s="23"/>
      <c r="N113" s="23"/>
      <c r="O113" s="23"/>
      <c r="P113" s="23"/>
      <c r="Q113" s="23"/>
    </row>
    <row r="114" spans="6:17" ht="0.95" hidden="1" customHeight="1">
      <c r="F114" s="23"/>
      <c r="G114" s="23"/>
      <c r="H114" s="23"/>
      <c r="I114" s="23"/>
      <c r="J114" s="25" t="s">
        <v>134</v>
      </c>
      <c r="K114" s="28">
        <f>AVERAGE(K98:K112)</f>
        <v>1.0925333333333334</v>
      </c>
      <c r="L114" s="23"/>
      <c r="M114" s="23"/>
      <c r="N114" s="23"/>
      <c r="O114" s="23"/>
      <c r="P114" s="23"/>
      <c r="Q114" s="23"/>
    </row>
    <row r="115" spans="6:17" ht="0.95" hidden="1" customHeight="1">
      <c r="F115" s="23"/>
      <c r="G115" s="23"/>
      <c r="H115" s="23"/>
      <c r="I115" s="23"/>
      <c r="J115" s="25" t="s">
        <v>25</v>
      </c>
      <c r="K115" s="24">
        <f>_xlfn.STDEV.S(K98:K112)</f>
        <v>1.2092042759403314</v>
      </c>
      <c r="L115" s="23"/>
      <c r="M115" s="23"/>
      <c r="N115" s="23"/>
      <c r="O115" s="23"/>
      <c r="P115" s="23"/>
      <c r="Q115" s="23"/>
    </row>
    <row r="116" spans="6:17" ht="0.95" hidden="1" customHeight="1">
      <c r="F116" s="23"/>
      <c r="G116" s="23"/>
      <c r="H116" s="23"/>
      <c r="I116" s="23"/>
      <c r="J116" s="25" t="s">
        <v>133</v>
      </c>
      <c r="K116" s="28">
        <f>MIN(K98:K112)</f>
        <v>0</v>
      </c>
      <c r="L116" s="23"/>
      <c r="M116" s="23"/>
      <c r="N116" s="23"/>
      <c r="O116" s="23"/>
      <c r="P116" s="23"/>
      <c r="Q116" s="23"/>
    </row>
    <row r="117" spans="6:17" ht="0.95" hidden="1" customHeight="1">
      <c r="F117" s="23"/>
      <c r="G117" s="23"/>
      <c r="H117" s="23"/>
      <c r="I117" s="23"/>
      <c r="J117" s="25" t="s">
        <v>132</v>
      </c>
      <c r="K117" s="28">
        <f>MAX(K98:K112)</f>
        <v>2.3879999999999999</v>
      </c>
      <c r="L117" s="23"/>
      <c r="M117" s="23"/>
      <c r="N117" s="23"/>
      <c r="O117" s="23"/>
      <c r="P117" s="23"/>
      <c r="Q117" s="23"/>
    </row>
    <row r="118" spans="6:17" ht="0.95" hidden="1" customHeight="1">
      <c r="F118" s="23"/>
      <c r="G118" s="23"/>
      <c r="H118" s="23"/>
      <c r="I118" s="23"/>
      <c r="J118" s="25" t="s">
        <v>131</v>
      </c>
      <c r="K118" s="27">
        <f>K114-K116</f>
        <v>1.0925333333333334</v>
      </c>
      <c r="L118" s="23"/>
      <c r="M118" s="23"/>
      <c r="N118" s="23"/>
      <c r="O118" s="23"/>
      <c r="P118" s="23"/>
      <c r="Q118" s="23"/>
    </row>
    <row r="119" spans="6:17" ht="0.95" hidden="1" customHeight="1">
      <c r="F119" s="23"/>
      <c r="G119" s="23"/>
      <c r="H119" s="23"/>
      <c r="I119" s="23"/>
      <c r="J119" s="25" t="s">
        <v>130</v>
      </c>
      <c r="K119" s="27">
        <f>K117-K114</f>
        <v>1.2954666666666665</v>
      </c>
      <c r="L119" s="23"/>
      <c r="M119" s="23"/>
      <c r="N119" s="23"/>
      <c r="O119" s="23"/>
      <c r="P119" s="23"/>
      <c r="Q119" s="23"/>
    </row>
    <row r="120" spans="6:17" ht="0.95" hidden="1" customHeight="1">
      <c r="F120" s="23"/>
      <c r="G120" s="23"/>
      <c r="H120" s="23"/>
      <c r="I120" s="23"/>
      <c r="J120" s="25" t="s">
        <v>129</v>
      </c>
      <c r="K120" s="24">
        <f>MAX(K118:K119)/K115</f>
        <v>1.071338145624116</v>
      </c>
      <c r="L120" s="23"/>
      <c r="M120" s="23"/>
      <c r="N120" s="23"/>
      <c r="O120" s="23"/>
      <c r="P120" s="23"/>
      <c r="Q120" s="23"/>
    </row>
    <row r="121" spans="6:17" ht="0.95" hidden="1" customHeight="1">
      <c r="F121" s="23"/>
      <c r="G121" s="23"/>
      <c r="H121" s="23"/>
      <c r="I121" s="23"/>
      <c r="J121" s="25" t="s">
        <v>128</v>
      </c>
      <c r="K121" s="24">
        <f>COUNT(K97:K112)</f>
        <v>15</v>
      </c>
      <c r="L121" s="23"/>
      <c r="M121" s="23"/>
      <c r="N121" s="23"/>
      <c r="O121" s="23"/>
      <c r="P121" s="23"/>
      <c r="Q121" s="23"/>
    </row>
    <row r="122" spans="6:17" ht="0.95" hidden="1" customHeight="1">
      <c r="F122" s="23"/>
      <c r="G122" s="23"/>
      <c r="H122" s="23"/>
      <c r="I122" s="23"/>
      <c r="J122" s="25" t="s">
        <v>124</v>
      </c>
      <c r="K122" s="24">
        <f>K113/K121</f>
        <v>3.3333333333333335E-3</v>
      </c>
      <c r="L122" s="23"/>
      <c r="M122" s="23"/>
      <c r="N122" s="23"/>
      <c r="O122" s="23"/>
      <c r="P122" s="23"/>
      <c r="Q122" s="23"/>
    </row>
    <row r="123" spans="6:17" ht="0.95" hidden="1" customHeight="1">
      <c r="F123" s="23"/>
      <c r="G123" s="23"/>
      <c r="H123" s="23"/>
      <c r="I123" s="23"/>
      <c r="J123" s="25" t="s">
        <v>127</v>
      </c>
      <c r="K123" s="24">
        <f>K121-2</f>
        <v>13</v>
      </c>
      <c r="L123" s="23"/>
      <c r="M123" s="23"/>
      <c r="N123" s="23"/>
      <c r="O123" s="23"/>
      <c r="P123" s="23"/>
      <c r="Q123" s="23"/>
    </row>
    <row r="124" spans="6:17" ht="0.95" hidden="1" customHeight="1">
      <c r="F124" s="23"/>
      <c r="G124" s="23"/>
      <c r="H124" s="23"/>
      <c r="I124" s="23"/>
      <c r="J124" s="25" t="s">
        <v>126</v>
      </c>
      <c r="K124" s="24">
        <f>TINV(K122,K123)</f>
        <v>3.5838393924732448</v>
      </c>
      <c r="L124" s="23"/>
      <c r="M124" s="23"/>
      <c r="N124" s="23"/>
      <c r="O124" s="23"/>
      <c r="P124" s="23"/>
      <c r="Q124" s="23"/>
    </row>
    <row r="125" spans="6:17" ht="0.95" hidden="1" customHeight="1">
      <c r="F125" s="23"/>
      <c r="G125" s="23"/>
      <c r="H125" s="23"/>
      <c r="I125" s="23"/>
      <c r="J125" s="25" t="s">
        <v>125</v>
      </c>
      <c r="K125" s="24">
        <f>(K121-1)*K124/SQRT(K121*(K123+K124^2))</f>
        <v>2.5483077717433442</v>
      </c>
      <c r="L125" s="23"/>
      <c r="M125" s="23"/>
      <c r="N125" s="23"/>
      <c r="O125" s="23"/>
      <c r="P125" s="23"/>
      <c r="Q125" s="23"/>
    </row>
    <row r="126" spans="6:17" ht="0.95" hidden="1" customHeight="1">
      <c r="F126" s="23"/>
      <c r="G126" s="23"/>
      <c r="H126" s="23"/>
      <c r="I126" s="23"/>
      <c r="J126" s="25" t="s">
        <v>124</v>
      </c>
      <c r="K126" s="35" t="str">
        <f>IF(K120&gt;K125,"YES","NO")</f>
        <v>NO</v>
      </c>
      <c r="L126" s="23"/>
      <c r="M126" s="23"/>
      <c r="N126" s="23"/>
      <c r="O126" s="23"/>
      <c r="P126" s="23"/>
      <c r="Q126" s="23"/>
    </row>
    <row r="127" spans="6:17" ht="0.95" hidden="1" customHeight="1">
      <c r="F127" s="23"/>
      <c r="G127" s="23"/>
      <c r="H127" s="23"/>
      <c r="I127" s="23"/>
      <c r="J127" s="23"/>
      <c r="K127" s="23"/>
      <c r="L127" s="23"/>
      <c r="M127" s="23"/>
      <c r="N127" s="23"/>
      <c r="O127" s="23"/>
      <c r="P127" s="23"/>
      <c r="Q127" s="23"/>
    </row>
    <row r="128" spans="6:17" ht="0.95" hidden="1" customHeight="1">
      <c r="F128" s="23"/>
      <c r="G128" s="23"/>
      <c r="H128" s="23"/>
      <c r="I128" s="23"/>
      <c r="J128" s="34" t="s">
        <v>137</v>
      </c>
      <c r="K128" s="34" t="s">
        <v>136</v>
      </c>
      <c r="L128" s="23"/>
      <c r="M128" s="23"/>
      <c r="N128" s="23"/>
      <c r="O128" s="23"/>
      <c r="P128" s="23"/>
      <c r="Q128" s="23"/>
    </row>
    <row r="129" spans="6:17" ht="0.95" hidden="1" customHeight="1">
      <c r="F129" s="23"/>
      <c r="G129" s="23"/>
      <c r="H129" s="23"/>
      <c r="I129" s="23"/>
      <c r="J129" s="33">
        <v>1</v>
      </c>
      <c r="K129" s="32">
        <v>1.3660000000000001</v>
      </c>
      <c r="L129" s="23"/>
      <c r="M129" s="23"/>
      <c r="N129" s="23"/>
      <c r="O129" s="23"/>
      <c r="P129" s="23"/>
      <c r="Q129" s="23"/>
    </row>
    <row r="130" spans="6:17" ht="0.95" hidden="1" customHeight="1">
      <c r="F130" s="23"/>
      <c r="G130" s="23"/>
      <c r="H130" s="26"/>
      <c r="I130" s="23"/>
      <c r="J130" s="33">
        <v>2</v>
      </c>
      <c r="K130" s="32">
        <v>1.355</v>
      </c>
      <c r="L130" s="23"/>
      <c r="M130" s="23"/>
      <c r="N130" s="23"/>
      <c r="O130" s="23"/>
      <c r="P130" s="23"/>
      <c r="Q130" s="23"/>
    </row>
    <row r="131" spans="6:17" ht="12" hidden="1" customHeight="1">
      <c r="F131" s="23"/>
      <c r="G131" s="23"/>
      <c r="H131" s="29"/>
      <c r="I131" s="23"/>
      <c r="J131" s="33">
        <v>3</v>
      </c>
      <c r="K131" s="32">
        <v>1.345</v>
      </c>
      <c r="L131" s="23"/>
      <c r="M131" s="23"/>
      <c r="N131" s="23"/>
      <c r="O131" s="23"/>
      <c r="P131" s="23"/>
      <c r="Q131" s="23"/>
    </row>
    <row r="132" spans="6:17" ht="0.95" hidden="1" customHeight="1">
      <c r="F132" s="23"/>
      <c r="G132" s="23"/>
      <c r="H132" s="29"/>
      <c r="I132" s="23"/>
      <c r="J132" s="33">
        <v>4</v>
      </c>
      <c r="K132" s="32">
        <v>1.345</v>
      </c>
      <c r="L132" s="23"/>
      <c r="M132" s="23"/>
      <c r="N132" s="23"/>
      <c r="O132" s="23"/>
      <c r="P132" s="23"/>
      <c r="Q132" s="23"/>
    </row>
    <row r="133" spans="6:17" ht="14.1" hidden="1" customHeight="1">
      <c r="F133" s="23"/>
      <c r="G133" s="23"/>
      <c r="H133" s="29"/>
      <c r="I133" s="23"/>
      <c r="J133" s="33">
        <v>5</v>
      </c>
      <c r="K133" s="32">
        <v>1.3420000000000001</v>
      </c>
      <c r="L133" s="23"/>
      <c r="M133" s="23"/>
      <c r="N133" s="23"/>
      <c r="O133" s="23"/>
      <c r="P133" s="23"/>
      <c r="Q133" s="23"/>
    </row>
    <row r="134" spans="6:17" ht="0.95" hidden="1" customHeight="1">
      <c r="F134" s="23"/>
      <c r="G134" s="23"/>
      <c r="H134" s="29"/>
      <c r="I134" s="23"/>
      <c r="J134" s="33">
        <v>6</v>
      </c>
      <c r="K134" s="32">
        <v>1.341</v>
      </c>
      <c r="L134" s="23"/>
      <c r="M134" s="23"/>
      <c r="N134" s="23"/>
      <c r="O134" s="23"/>
      <c r="P134" s="23"/>
      <c r="Q134" s="23"/>
    </row>
    <row r="135" spans="6:17" ht="0.95" hidden="1" customHeight="1">
      <c r="F135" s="23"/>
      <c r="G135" s="23"/>
      <c r="H135" s="29"/>
      <c r="I135" s="23"/>
      <c r="J135" s="33">
        <v>7</v>
      </c>
      <c r="K135" s="32">
        <v>1.341</v>
      </c>
      <c r="L135" s="23"/>
      <c r="M135" s="23"/>
      <c r="N135" s="23"/>
      <c r="O135" s="23"/>
      <c r="P135" s="23"/>
      <c r="Q135" s="23"/>
    </row>
    <row r="136" spans="6:17" ht="0.95" hidden="1" customHeight="1">
      <c r="F136" s="23"/>
      <c r="G136" s="23"/>
      <c r="H136" s="29"/>
      <c r="I136" s="23"/>
      <c r="J136" s="33">
        <v>8</v>
      </c>
      <c r="K136" s="32">
        <v>1.34</v>
      </c>
      <c r="L136" s="23"/>
      <c r="M136" s="23"/>
      <c r="N136" s="23"/>
      <c r="O136" s="23"/>
      <c r="P136" s="23"/>
      <c r="Q136" s="23"/>
    </row>
    <row r="137" spans="6:17" ht="0.95" hidden="1" customHeight="1">
      <c r="F137" s="23"/>
      <c r="G137" s="23"/>
      <c r="H137" s="29"/>
      <c r="I137" s="23"/>
      <c r="J137" s="33">
        <v>9</v>
      </c>
      <c r="K137" s="32">
        <v>1.325</v>
      </c>
      <c r="L137" s="23"/>
      <c r="M137" s="23"/>
      <c r="N137" s="23"/>
      <c r="O137" s="23"/>
      <c r="P137" s="23"/>
      <c r="Q137" s="23"/>
    </row>
    <row r="138" spans="6:17" ht="0.95" hidden="1" customHeight="1">
      <c r="F138" s="23"/>
      <c r="G138" s="23"/>
      <c r="H138" s="29"/>
      <c r="I138" s="23"/>
      <c r="J138" s="33">
        <v>10</v>
      </c>
      <c r="K138" s="32">
        <v>1.321</v>
      </c>
      <c r="L138" s="23"/>
      <c r="M138" s="23"/>
      <c r="N138" s="23"/>
      <c r="O138" s="23"/>
      <c r="P138" s="23"/>
      <c r="Q138" s="23"/>
    </row>
    <row r="139" spans="6:17" ht="0.95" hidden="1" customHeight="1">
      <c r="F139" s="23"/>
      <c r="G139" s="23"/>
      <c r="H139" s="29"/>
      <c r="I139" s="23"/>
      <c r="J139" s="33">
        <v>11</v>
      </c>
      <c r="K139" s="32">
        <v>1.3</v>
      </c>
      <c r="L139" s="23"/>
      <c r="M139" s="23"/>
      <c r="N139" s="23"/>
      <c r="O139" s="23"/>
      <c r="P139" s="23"/>
      <c r="Q139" s="23"/>
    </row>
    <row r="140" spans="6:17" ht="0.95" hidden="1" customHeight="1">
      <c r="F140" s="23"/>
      <c r="G140" s="23"/>
      <c r="H140" s="29"/>
      <c r="I140" s="23"/>
      <c r="J140" s="33">
        <v>12</v>
      </c>
      <c r="K140" s="32">
        <v>1.2549999999999999</v>
      </c>
      <c r="L140" s="23"/>
      <c r="M140" s="23"/>
      <c r="N140" s="23"/>
      <c r="O140" s="23"/>
      <c r="P140" s="23"/>
      <c r="Q140" s="23"/>
    </row>
    <row r="141" spans="6:17" ht="0.95" hidden="1" customHeight="1">
      <c r="F141" s="23"/>
      <c r="G141" s="23"/>
      <c r="H141" s="29"/>
      <c r="I141" s="23"/>
      <c r="J141" s="33">
        <v>13</v>
      </c>
      <c r="K141" s="32">
        <v>1.234</v>
      </c>
      <c r="L141" s="23"/>
      <c r="M141" s="23"/>
      <c r="N141" s="23"/>
      <c r="O141" s="23"/>
      <c r="P141" s="23"/>
      <c r="Q141" s="23"/>
    </row>
    <row r="142" spans="6:17" ht="0.95" hidden="1" customHeight="1">
      <c r="F142" s="23"/>
      <c r="G142" s="23"/>
      <c r="H142" s="29"/>
      <c r="I142" s="23"/>
      <c r="J142" s="33">
        <v>14</v>
      </c>
      <c r="K142" s="32">
        <v>1.2</v>
      </c>
      <c r="L142" s="23"/>
      <c r="M142" s="23"/>
      <c r="N142" s="23"/>
      <c r="O142" s="23"/>
      <c r="P142" s="23"/>
      <c r="Q142" s="23"/>
    </row>
    <row r="143" spans="6:17" ht="0.95" hidden="1" customHeight="1">
      <c r="F143" s="23"/>
      <c r="G143" s="23"/>
      <c r="H143" s="29"/>
      <c r="I143" s="23"/>
      <c r="J143" s="31" t="s">
        <v>135</v>
      </c>
      <c r="K143" s="30">
        <v>0.05</v>
      </c>
      <c r="L143" s="23"/>
      <c r="M143" s="23"/>
      <c r="N143" s="23"/>
      <c r="O143" s="23"/>
      <c r="P143" s="23"/>
      <c r="Q143" s="23"/>
    </row>
    <row r="144" spans="6:17" ht="0.95" hidden="1" customHeight="1">
      <c r="F144" s="23"/>
      <c r="G144" s="23"/>
      <c r="H144" s="29"/>
      <c r="I144" s="23"/>
      <c r="J144" s="25" t="s">
        <v>134</v>
      </c>
      <c r="K144" s="28">
        <f>AVERAGE(K129:K142)</f>
        <v>1.3149999999999999</v>
      </c>
      <c r="L144" s="23"/>
      <c r="M144" s="23"/>
      <c r="N144" s="23"/>
      <c r="O144" s="23"/>
      <c r="P144" s="23"/>
      <c r="Q144" s="23"/>
    </row>
    <row r="145" spans="6:17" ht="0.95" hidden="1" customHeight="1">
      <c r="F145" s="23"/>
      <c r="G145" s="23"/>
      <c r="H145" s="26"/>
      <c r="I145" s="23"/>
      <c r="J145" s="25" t="s">
        <v>25</v>
      </c>
      <c r="K145" s="24">
        <f>_xlfn.STDEV.S(K129:K142)</f>
        <v>4.9964602855036691E-2</v>
      </c>
      <c r="L145" s="23"/>
      <c r="M145" s="23"/>
      <c r="N145" s="23"/>
      <c r="O145" s="23"/>
      <c r="P145" s="23"/>
      <c r="Q145" s="23"/>
    </row>
    <row r="146" spans="6:17" ht="2.1" hidden="1" customHeight="1">
      <c r="F146" s="23"/>
      <c r="G146" s="23"/>
      <c r="H146" s="26"/>
      <c r="I146" s="23"/>
      <c r="J146" s="25" t="s">
        <v>133</v>
      </c>
      <c r="K146" s="28">
        <f>MIN(K129:K142)</f>
        <v>1.2</v>
      </c>
      <c r="L146" s="23"/>
      <c r="M146" s="23"/>
      <c r="N146" s="23"/>
      <c r="O146" s="23"/>
      <c r="P146" s="23"/>
      <c r="Q146" s="23"/>
    </row>
    <row r="147" spans="6:17" ht="0.95" hidden="1" customHeight="1">
      <c r="F147" s="23"/>
      <c r="G147" s="23"/>
      <c r="H147" s="26"/>
      <c r="I147" s="23"/>
      <c r="J147" s="25" t="s">
        <v>132</v>
      </c>
      <c r="K147" s="28">
        <f>MAX(K129:K142)</f>
        <v>1.3660000000000001</v>
      </c>
      <c r="L147" s="23"/>
      <c r="M147" s="23"/>
      <c r="N147" s="23"/>
      <c r="O147" s="23"/>
      <c r="P147" s="23"/>
      <c r="Q147" s="23"/>
    </row>
    <row r="148" spans="6:17" ht="0.95" hidden="1" customHeight="1">
      <c r="F148" s="23"/>
      <c r="G148" s="23"/>
      <c r="H148" s="26"/>
      <c r="I148" s="23"/>
      <c r="J148" s="25" t="s">
        <v>131</v>
      </c>
      <c r="K148" s="27">
        <f>K144-K146</f>
        <v>0.11499999999999999</v>
      </c>
      <c r="L148" s="23"/>
      <c r="M148" s="23"/>
      <c r="N148" s="23"/>
      <c r="O148" s="23"/>
      <c r="P148" s="23"/>
      <c r="Q148" s="23"/>
    </row>
    <row r="149" spans="6:17" ht="0.95" hidden="1" customHeight="1">
      <c r="F149" s="23"/>
      <c r="G149" s="23"/>
      <c r="H149" s="26"/>
      <c r="I149" s="23"/>
      <c r="J149" s="25" t="s">
        <v>130</v>
      </c>
      <c r="K149" s="27">
        <f>K147-K144</f>
        <v>5.1000000000000156E-2</v>
      </c>
      <c r="L149" s="23"/>
      <c r="M149" s="23"/>
      <c r="N149" s="23"/>
      <c r="O149" s="23"/>
      <c r="P149" s="23"/>
      <c r="Q149" s="23"/>
    </row>
    <row r="150" spans="6:17" ht="0.95" hidden="1" customHeight="1">
      <c r="F150" s="23"/>
      <c r="G150" s="23"/>
      <c r="H150" s="26"/>
      <c r="I150" s="23"/>
      <c r="J150" s="25" t="s">
        <v>129</v>
      </c>
      <c r="K150" s="24">
        <f>MAX(K148:K149)/K145</f>
        <v>2.3016294222061928</v>
      </c>
      <c r="L150" s="23"/>
      <c r="M150" s="23"/>
      <c r="N150" s="23"/>
      <c r="O150" s="23"/>
      <c r="P150" s="23"/>
      <c r="Q150" s="23"/>
    </row>
    <row r="151" spans="6:17" ht="0.95" hidden="1" customHeight="1">
      <c r="F151" s="23"/>
      <c r="G151" s="23"/>
      <c r="H151" s="26"/>
      <c r="I151" s="23"/>
      <c r="J151" s="25" t="s">
        <v>128</v>
      </c>
      <c r="K151" s="24">
        <f>COUNT(F124:F139)</f>
        <v>0</v>
      </c>
      <c r="L151" s="23"/>
      <c r="M151" s="23"/>
      <c r="N151" s="23"/>
      <c r="O151" s="23"/>
      <c r="P151" s="23"/>
      <c r="Q151" s="23"/>
    </row>
    <row r="152" spans="6:17" ht="0.95" hidden="1" customHeight="1">
      <c r="F152" s="23"/>
      <c r="G152" s="23"/>
      <c r="H152" s="26"/>
      <c r="I152" s="23"/>
      <c r="J152" s="25" t="s">
        <v>124</v>
      </c>
      <c r="K152" s="24" t="e">
        <f>K143/K151</f>
        <v>#DIV/0!</v>
      </c>
      <c r="L152" s="23"/>
      <c r="M152" s="23"/>
      <c r="N152" s="23"/>
      <c r="O152" s="23"/>
      <c r="P152" s="23"/>
      <c r="Q152" s="23"/>
    </row>
    <row r="153" spans="6:17" ht="0.95" hidden="1" customHeight="1">
      <c r="F153" s="23"/>
      <c r="G153" s="23"/>
      <c r="H153" s="26"/>
      <c r="I153" s="23"/>
      <c r="J153" s="25" t="s">
        <v>127</v>
      </c>
      <c r="K153" s="24">
        <f>K151-2</f>
        <v>-2</v>
      </c>
      <c r="L153" s="23"/>
      <c r="M153" s="23"/>
      <c r="N153" s="23"/>
      <c r="O153" s="23"/>
      <c r="P153" s="23"/>
      <c r="Q153" s="23"/>
    </row>
    <row r="154" spans="6:17" ht="0.95" hidden="1" customHeight="1">
      <c r="F154" s="23"/>
      <c r="G154" s="23"/>
      <c r="H154" s="26"/>
      <c r="I154" s="23"/>
      <c r="J154" s="25" t="s">
        <v>126</v>
      </c>
      <c r="K154" s="24" t="e">
        <f>TINV(K152,K153)</f>
        <v>#DIV/0!</v>
      </c>
      <c r="L154" s="23"/>
      <c r="M154" s="23"/>
      <c r="N154" s="23"/>
      <c r="O154" s="23"/>
      <c r="P154" s="23"/>
      <c r="Q154" s="23"/>
    </row>
    <row r="155" spans="6:17" ht="0.95" hidden="1" customHeight="1">
      <c r="F155" s="23"/>
      <c r="G155" s="23"/>
      <c r="H155" s="26"/>
      <c r="I155" s="23"/>
      <c r="J155" s="25" t="s">
        <v>125</v>
      </c>
      <c r="K155" s="24" t="e">
        <f>(K151-1)*K154/SQRT(K151*(K153+K154^2))</f>
        <v>#DIV/0!</v>
      </c>
      <c r="L155" s="23"/>
      <c r="M155" s="23"/>
      <c r="N155" s="23"/>
      <c r="O155" s="23"/>
      <c r="P155" s="23"/>
      <c r="Q155" s="23"/>
    </row>
    <row r="156" spans="6:17" ht="0.95" hidden="1" customHeight="1">
      <c r="F156" s="23"/>
      <c r="G156" s="23"/>
      <c r="H156" s="26"/>
      <c r="I156" s="23"/>
      <c r="J156" s="25" t="s">
        <v>124</v>
      </c>
      <c r="K156" s="24" t="e">
        <f>IF(K150&gt;K155,"YES","NO")</f>
        <v>#DIV/0!</v>
      </c>
      <c r="L156" s="23"/>
      <c r="M156" s="23"/>
      <c r="N156" s="23"/>
      <c r="O156" s="23"/>
      <c r="P156" s="23"/>
      <c r="Q156" s="23"/>
    </row>
    <row r="157" spans="6:17" ht="3" hidden="1" customHeight="1">
      <c r="F157" s="23"/>
      <c r="G157" s="23"/>
      <c r="H157" s="23"/>
      <c r="I157" s="23"/>
      <c r="J157" s="23"/>
      <c r="K157" s="23"/>
      <c r="L157" s="23"/>
      <c r="M157" s="23"/>
      <c r="N157" s="23"/>
      <c r="O157" s="23"/>
      <c r="P157" s="23"/>
      <c r="Q157" s="23"/>
    </row>
    <row r="158" spans="6:17" ht="0.95" hidden="1" customHeight="1">
      <c r="F158" s="23"/>
      <c r="G158" s="23"/>
      <c r="H158" s="23"/>
      <c r="I158" s="23"/>
      <c r="J158" s="23"/>
      <c r="K158" s="23"/>
      <c r="L158" s="23"/>
      <c r="M158" s="23"/>
      <c r="N158" s="23"/>
      <c r="O158" s="23"/>
      <c r="P158" s="23"/>
      <c r="Q158" s="23"/>
    </row>
    <row r="159" spans="6:17" ht="20.100000000000001" customHeight="1">
      <c r="F159" s="23"/>
      <c r="G159" s="23"/>
      <c r="H159" s="23"/>
      <c r="I159" s="23"/>
      <c r="J159" s="23"/>
      <c r="K159" s="23"/>
      <c r="L159" s="23"/>
      <c r="M159" s="23"/>
      <c r="N159" s="23"/>
      <c r="O159" s="23"/>
      <c r="P159" s="23"/>
      <c r="Q159" s="23"/>
    </row>
    <row r="160" spans="6:17">
      <c r="F160" s="23"/>
      <c r="G160" s="23"/>
      <c r="H160" s="23"/>
      <c r="I160" s="23"/>
      <c r="J160" s="23"/>
      <c r="K160" s="23"/>
      <c r="L160" s="23"/>
      <c r="M160" s="23"/>
      <c r="N160" s="23"/>
      <c r="O160" s="23"/>
      <c r="P160" s="23"/>
      <c r="Q160" s="23"/>
    </row>
    <row r="161" spans="6:17">
      <c r="F161" s="23"/>
      <c r="G161" s="23"/>
      <c r="H161" s="23"/>
      <c r="I161" s="23"/>
      <c r="J161" s="23"/>
      <c r="K161" s="23"/>
      <c r="L161" s="23"/>
      <c r="M161" s="23"/>
      <c r="N161" s="23"/>
      <c r="O161" s="23"/>
      <c r="P161" s="23"/>
      <c r="Q161" s="23"/>
    </row>
    <row r="162" spans="6:17">
      <c r="F162" s="23"/>
      <c r="G162" s="23"/>
      <c r="H162" s="23"/>
      <c r="I162" s="23"/>
      <c r="J162" s="23"/>
      <c r="K162" s="23"/>
      <c r="L162" s="23"/>
      <c r="M162" s="23"/>
      <c r="N162" s="23"/>
      <c r="O162" s="23"/>
      <c r="P162" s="23"/>
      <c r="Q162" s="23"/>
    </row>
    <row r="163" spans="6:17">
      <c r="F163" s="23"/>
      <c r="G163" s="23"/>
      <c r="H163" s="23"/>
      <c r="I163" s="23"/>
      <c r="J163" s="23"/>
      <c r="K163" s="23"/>
      <c r="L163" s="23"/>
      <c r="M163" s="23"/>
      <c r="N163" s="23"/>
      <c r="O163" s="23"/>
      <c r="P163" s="23"/>
      <c r="Q163" s="23"/>
    </row>
    <row r="164" spans="6:17">
      <c r="F164" s="23"/>
      <c r="G164" s="23"/>
      <c r="H164" s="23"/>
      <c r="I164" s="23"/>
      <c r="J164" s="23"/>
      <c r="K164" s="23"/>
      <c r="L164" s="23"/>
      <c r="M164" s="23"/>
      <c r="N164" s="23"/>
      <c r="O164" s="23"/>
      <c r="P164" s="23"/>
      <c r="Q164" s="23"/>
    </row>
    <row r="165" spans="6:17">
      <c r="F165" s="23"/>
      <c r="G165" s="23"/>
      <c r="H165" s="23"/>
      <c r="I165" s="23"/>
      <c r="J165" s="23"/>
      <c r="K165" s="23"/>
      <c r="L165" s="23"/>
      <c r="M165" s="23"/>
      <c r="N165" s="23"/>
      <c r="O165" s="23"/>
      <c r="P165" s="23"/>
      <c r="Q165" s="23"/>
    </row>
    <row r="166" spans="6:17">
      <c r="F166" s="23"/>
      <c r="G166" s="23"/>
      <c r="H166" s="23"/>
      <c r="I166" s="23"/>
      <c r="J166" s="23"/>
      <c r="K166" s="23"/>
      <c r="L166" s="23"/>
      <c r="M166" s="23"/>
      <c r="N166" s="23"/>
      <c r="O166" s="23"/>
      <c r="P166" s="23"/>
      <c r="Q166" s="23"/>
    </row>
    <row r="167" spans="6:17">
      <c r="F167" s="23"/>
      <c r="G167" s="23"/>
      <c r="H167" s="23"/>
      <c r="I167" s="23"/>
      <c r="J167" s="23"/>
      <c r="K167" s="23"/>
      <c r="L167" s="23"/>
      <c r="M167" s="23"/>
      <c r="N167" s="23"/>
      <c r="O167" s="23"/>
      <c r="P167" s="23"/>
      <c r="Q167" s="23"/>
    </row>
    <row r="168" spans="6:17">
      <c r="F168" s="23"/>
      <c r="G168" s="23"/>
      <c r="H168" s="23"/>
      <c r="I168" s="23"/>
      <c r="J168" s="23"/>
      <c r="K168" s="23"/>
      <c r="L168" s="23"/>
      <c r="M168" s="23"/>
      <c r="N168" s="23"/>
      <c r="O168" s="23"/>
      <c r="P168" s="23"/>
      <c r="Q168" s="23"/>
    </row>
    <row r="169" spans="6:17">
      <c r="F169" s="23"/>
      <c r="G169" s="23"/>
      <c r="H169" s="23"/>
      <c r="I169" s="23"/>
      <c r="J169" s="23"/>
      <c r="K169" s="23"/>
      <c r="L169" s="23"/>
      <c r="M169" s="23"/>
      <c r="N169" s="23"/>
      <c r="O169" s="23"/>
      <c r="P169" s="23"/>
      <c r="Q169" s="23"/>
    </row>
  </sheetData>
  <sheetProtection algorithmName="SHA-512" hashValue="SLyHISxu/Sx7pmIxJv3oh8mXgrX1Suz1f0fill3sJMz6BoagN1Q4aDPOR6H9yFI1t8ZD8RUdJIXWimqdnlDFcw==" saltValue="45uHGmLP3SgrF2KJWI4CUQ==" spinCount="100000" sheet="1" selectLockedCells="1"/>
  <mergeCells count="28">
    <mergeCell ref="A1:A35"/>
    <mergeCell ref="N25:O25"/>
    <mergeCell ref="E2:F3"/>
    <mergeCell ref="M3:M36"/>
    <mergeCell ref="I32:J32"/>
    <mergeCell ref="B2:C17"/>
    <mergeCell ref="B18:C24"/>
    <mergeCell ref="H3:H21"/>
    <mergeCell ref="B26:F29"/>
    <mergeCell ref="S2:T2"/>
    <mergeCell ref="R3:R25"/>
    <mergeCell ref="S4:U4"/>
    <mergeCell ref="N2:P2"/>
    <mergeCell ref="I2:J2"/>
    <mergeCell ref="I38:J38"/>
    <mergeCell ref="N32:O32"/>
    <mergeCell ref="H24:H56"/>
    <mergeCell ref="I39:J40"/>
    <mergeCell ref="I54:J54"/>
    <mergeCell ref="N26:P26"/>
    <mergeCell ref="N28:P28"/>
    <mergeCell ref="N33:P33"/>
    <mergeCell ref="N27:O27"/>
    <mergeCell ref="N29:O29"/>
    <mergeCell ref="N30:O30"/>
    <mergeCell ref="N31:O31"/>
    <mergeCell ref="N34:O34"/>
    <mergeCell ref="N36:O36"/>
  </mergeCells>
  <conditionalFormatting sqref="J41 J43">
    <cfRule type="expression" dxfId="3" priority="2">
      <formula>#REF!=1</formula>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iconSet" priority="3" id="{1FE2CE89-CA11-4F24-8397-10F93CE758D0}">
            <x14:iconSet custom="1">
              <x14:cfvo type="percent">
                <xm:f>0</xm:f>
              </x14:cfvo>
              <x14:cfvo type="formula" gte="0">
                <xm:f>2</xm:f>
              </x14:cfvo>
              <x14:cfvo type="formula">
                <xm:f>17</xm:f>
              </x14:cfvo>
              <x14:cfIcon iconSet="4RedToBlack" iconId="3"/>
              <x14:cfIcon iconSet="NoIcons" iconId="0"/>
              <x14:cfIcon iconSet="NoIcons" iconId="0"/>
            </x14:iconSet>
          </x14:cfRule>
          <xm:sqref>K3:K19</xm:sqref>
        </x14:conditionalFormatting>
        <x14:conditionalFormatting xmlns:xm="http://schemas.microsoft.com/office/excel/2006/main">
          <x14:cfRule type="iconSet" priority="1" id="{A5FF7A17-C1CA-4FDC-9ECD-732156757468}">
            <x14:iconSet custom="1">
              <x14:cfvo type="percent">
                <xm:f>0</xm:f>
              </x14:cfvo>
              <x14:cfvo type="formula" gte="0">
                <xm:f>2</xm:f>
              </x14:cfvo>
              <x14:cfvo type="formula">
                <xm:f>17</xm:f>
              </x14:cfvo>
              <x14:cfIcon iconSet="4RedToBlack" iconId="3"/>
              <x14:cfIcon iconSet="NoIcons" iconId="0"/>
              <x14:cfIcon iconSet="NoIcons" iconId="0"/>
            </x14:iconSet>
          </x14:cfRule>
          <xm:sqref>K42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21E02-F0E9-4932-AB75-B6E1ABFD44E9}">
  <dimension ref="A1:V169"/>
  <sheetViews>
    <sheetView topLeftCell="M7" zoomScale="90" zoomScaleNormal="90" workbookViewId="0">
      <selection activeCell="P9" sqref="P9"/>
    </sheetView>
  </sheetViews>
  <sheetFormatPr defaultColWidth="12" defaultRowHeight="15.75"/>
  <cols>
    <col min="1" max="2" width="12" style="22"/>
    <col min="3" max="3" width="65.85546875" style="22" customWidth="1"/>
    <col min="4" max="4" width="1.5703125" style="22" customWidth="1"/>
    <col min="5" max="5" width="13.140625" style="22" customWidth="1"/>
    <col min="6" max="6" width="16.7109375" style="22" customWidth="1"/>
    <col min="7" max="7" width="3.28515625" style="22" customWidth="1"/>
    <col min="8" max="8" width="78.5703125" style="22" customWidth="1"/>
    <col min="9" max="9" width="40.42578125" style="22" customWidth="1"/>
    <col min="10" max="10" width="21.85546875" style="22" customWidth="1"/>
    <col min="11" max="11" width="9.5703125" style="22" customWidth="1"/>
    <col min="12" max="12" width="0.42578125" style="22" hidden="1" customWidth="1"/>
    <col min="13" max="13" width="53.42578125" style="22" customWidth="1"/>
    <col min="14" max="14" width="12.140625" style="22" customWidth="1"/>
    <col min="15" max="15" width="42" style="22" customWidth="1"/>
    <col min="16" max="16" width="28.42578125" style="22" customWidth="1"/>
    <col min="17" max="17" width="4.140625" style="22" customWidth="1"/>
    <col min="18" max="18" width="36.5703125" style="22" customWidth="1"/>
    <col min="19" max="19" width="21.42578125" style="22" customWidth="1"/>
    <col min="20" max="20" width="23.85546875" style="22" customWidth="1"/>
    <col min="21" max="21" width="24.5703125" style="22" customWidth="1"/>
    <col min="22" max="16384" width="12" style="22"/>
  </cols>
  <sheetData>
    <row r="1" spans="1:21" ht="21.95" customHeight="1" thickBot="1">
      <c r="A1" s="231" t="s">
        <v>216</v>
      </c>
      <c r="B1" s="189"/>
      <c r="C1" s="189"/>
      <c r="E1" s="122"/>
      <c r="F1" s="122"/>
      <c r="M1" s="122"/>
      <c r="N1" s="122"/>
      <c r="O1" s="122"/>
      <c r="P1" s="122"/>
    </row>
    <row r="2" spans="1:21" ht="21.95" customHeight="1" thickTop="1" thickBot="1">
      <c r="A2" s="231"/>
      <c r="B2" s="242" t="s">
        <v>215</v>
      </c>
      <c r="C2" s="242"/>
      <c r="E2" s="234" t="s">
        <v>214</v>
      </c>
      <c r="F2" s="235"/>
      <c r="G2" s="135"/>
      <c r="H2" s="188" t="s">
        <v>213</v>
      </c>
      <c r="I2" s="229" t="s">
        <v>212</v>
      </c>
      <c r="J2" s="230"/>
      <c r="K2" s="187"/>
      <c r="L2" s="135"/>
      <c r="M2" s="186" t="s">
        <v>211</v>
      </c>
      <c r="N2" s="226" t="s">
        <v>210</v>
      </c>
      <c r="O2" s="227"/>
      <c r="P2" s="228"/>
      <c r="R2" s="185" t="s">
        <v>209</v>
      </c>
      <c r="S2" s="219" t="s">
        <v>208</v>
      </c>
      <c r="T2" s="220"/>
      <c r="U2" s="184">
        <f>IF(P34=0,"",P34)</f>
        <v>76.400000000000006</v>
      </c>
    </row>
    <row r="3" spans="1:21" ht="21.95" customHeight="1" thickTop="1" thickBot="1">
      <c r="A3" s="231"/>
      <c r="B3" s="242"/>
      <c r="C3" s="242"/>
      <c r="D3" s="135"/>
      <c r="E3" s="236"/>
      <c r="F3" s="237"/>
      <c r="H3" s="245" t="s">
        <v>207</v>
      </c>
      <c r="I3" s="183" t="s">
        <v>206</v>
      </c>
      <c r="J3" s="182" t="s">
        <v>205</v>
      </c>
      <c r="K3" s="181"/>
      <c r="L3" s="180"/>
      <c r="M3" s="238" t="s">
        <v>204</v>
      </c>
      <c r="N3" s="179" t="s">
        <v>203</v>
      </c>
      <c r="O3" s="171" t="s">
        <v>53</v>
      </c>
      <c r="P3" s="178" t="s">
        <v>202</v>
      </c>
      <c r="R3" s="221" t="s">
        <v>201</v>
      </c>
      <c r="S3" s="121"/>
      <c r="T3" s="121"/>
      <c r="U3" s="65"/>
    </row>
    <row r="4" spans="1:21" ht="21.95" customHeight="1" thickTop="1">
      <c r="A4" s="231"/>
      <c r="B4" s="242"/>
      <c r="C4" s="242"/>
      <c r="D4" s="135"/>
      <c r="E4" s="177" t="s">
        <v>200</v>
      </c>
      <c r="F4" s="176" t="s">
        <v>53</v>
      </c>
      <c r="H4" s="245"/>
      <c r="I4" s="157">
        <v>1</v>
      </c>
      <c r="J4" s="150">
        <v>1.76</v>
      </c>
      <c r="K4" s="84">
        <f t="shared" ref="K4:K19" si="0" xml:space="preserve"> IFERROR(_xlfn.RANK.EQ(L4, $L$4:$L$19),"")</f>
        <v>13</v>
      </c>
      <c r="L4" s="173">
        <f t="shared" ref="L4:L19" si="1">ABS($J$45-J4)</f>
        <v>4.2375000000000052E-2</v>
      </c>
      <c r="M4" s="238"/>
      <c r="N4" s="175">
        <v>1</v>
      </c>
      <c r="O4" s="120" t="str">
        <f t="shared" ref="O4:O23" si="2">IF(F5=0,"",F5)</f>
        <v>A22</v>
      </c>
      <c r="P4" s="136">
        <v>30.18</v>
      </c>
      <c r="R4" s="221"/>
      <c r="S4" s="223" t="s">
        <v>199</v>
      </c>
      <c r="T4" s="224"/>
      <c r="U4" s="225"/>
    </row>
    <row r="5" spans="1:21" ht="21.95" customHeight="1">
      <c r="A5" s="231"/>
      <c r="B5" s="242"/>
      <c r="C5" s="242"/>
      <c r="D5" s="135"/>
      <c r="E5" s="174">
        <v>1</v>
      </c>
      <c r="F5" s="133" t="s">
        <v>59</v>
      </c>
      <c r="H5" s="245"/>
      <c r="I5" s="156">
        <v>2</v>
      </c>
      <c r="J5" s="155">
        <v>1.7909999999999999</v>
      </c>
      <c r="K5" s="84">
        <f t="shared" si="0"/>
        <v>12</v>
      </c>
      <c r="L5" s="173">
        <f t="shared" si="1"/>
        <v>7.3374999999999968E-2</v>
      </c>
      <c r="M5" s="238"/>
      <c r="N5" s="144">
        <v>2</v>
      </c>
      <c r="O5" s="127" t="str">
        <f t="shared" si="2"/>
        <v>A23</v>
      </c>
      <c r="P5" s="128">
        <v>87.72</v>
      </c>
      <c r="R5" s="221"/>
      <c r="S5" s="172" t="s">
        <v>198</v>
      </c>
      <c r="T5" s="171" t="s">
        <v>197</v>
      </c>
      <c r="U5" s="170" t="s">
        <v>196</v>
      </c>
    </row>
    <row r="6" spans="1:21" ht="21.95" customHeight="1">
      <c r="A6" s="231"/>
      <c r="B6" s="242"/>
      <c r="C6" s="242"/>
      <c r="D6" s="135"/>
      <c r="E6" s="169">
        <v>2</v>
      </c>
      <c r="F6" s="139" t="s">
        <v>62</v>
      </c>
      <c r="H6" s="245"/>
      <c r="I6" s="157">
        <v>3</v>
      </c>
      <c r="J6" s="150">
        <v>1.7410000000000001</v>
      </c>
      <c r="K6" s="84">
        <f t="shared" si="0"/>
        <v>14</v>
      </c>
      <c r="L6" s="71">
        <f t="shared" si="1"/>
        <v>2.3375000000000146E-2</v>
      </c>
      <c r="M6" s="238"/>
      <c r="N6" s="137">
        <v>3</v>
      </c>
      <c r="O6" s="120" t="str">
        <f t="shared" si="2"/>
        <v>A24</v>
      </c>
      <c r="P6" s="136">
        <v>70.44</v>
      </c>
      <c r="R6" s="221"/>
      <c r="S6" s="143" t="str">
        <f t="shared" ref="S6:S25" si="3">IF(F5=0,"",F5)</f>
        <v>A22</v>
      </c>
      <c r="T6" s="159">
        <f t="shared" ref="T6:T25" si="4">IF(P4=0,"",P4)</f>
        <v>30.18</v>
      </c>
      <c r="U6" s="118">
        <f t="shared" ref="U6:U25" si="5">IFERROR(($U$2*2500)/T6,"")</f>
        <v>6328.6944996686552</v>
      </c>
    </row>
    <row r="7" spans="1:21" ht="21.95" customHeight="1">
      <c r="A7" s="231"/>
      <c r="B7" s="242"/>
      <c r="C7" s="242"/>
      <c r="D7" s="135"/>
      <c r="E7" s="168">
        <v>3</v>
      </c>
      <c r="F7" s="167" t="s">
        <v>64</v>
      </c>
      <c r="H7" s="245"/>
      <c r="I7" s="156">
        <v>4</v>
      </c>
      <c r="J7" s="155">
        <v>1.704</v>
      </c>
      <c r="K7" s="84">
        <f t="shared" si="0"/>
        <v>15</v>
      </c>
      <c r="L7" s="71">
        <f t="shared" si="1"/>
        <v>1.3624999999999998E-2</v>
      </c>
      <c r="M7" s="238"/>
      <c r="N7" s="144">
        <v>4</v>
      </c>
      <c r="O7" s="127" t="str">
        <f t="shared" si="2"/>
        <v>A25</v>
      </c>
      <c r="P7" s="128">
        <v>83.32</v>
      </c>
      <c r="R7" s="221"/>
      <c r="S7" s="144" t="str">
        <f t="shared" si="3"/>
        <v>A23</v>
      </c>
      <c r="T7" s="161">
        <f t="shared" si="4"/>
        <v>87.72</v>
      </c>
      <c r="U7" s="126">
        <f t="shared" si="5"/>
        <v>2177.3825809393525</v>
      </c>
    </row>
    <row r="8" spans="1:21" ht="21.95" customHeight="1">
      <c r="A8" s="231"/>
      <c r="B8" s="242"/>
      <c r="C8" s="242"/>
      <c r="D8" s="135"/>
      <c r="E8" s="149">
        <v>4</v>
      </c>
      <c r="F8" s="139" t="s">
        <v>66</v>
      </c>
      <c r="H8" s="245"/>
      <c r="I8" s="157">
        <v>5</v>
      </c>
      <c r="J8" s="150">
        <v>1.6140000000000001</v>
      </c>
      <c r="K8" s="84">
        <f t="shared" si="0"/>
        <v>9</v>
      </c>
      <c r="L8" s="71">
        <f t="shared" si="1"/>
        <v>0.10362499999999986</v>
      </c>
      <c r="M8" s="238"/>
      <c r="N8" s="143">
        <v>5</v>
      </c>
      <c r="O8" s="120" t="str">
        <f t="shared" si="2"/>
        <v>A26</v>
      </c>
      <c r="P8" s="136">
        <v>60.18</v>
      </c>
      <c r="R8" s="221"/>
      <c r="S8" s="143" t="str">
        <f t="shared" si="3"/>
        <v>A24</v>
      </c>
      <c r="T8" s="159">
        <f t="shared" si="4"/>
        <v>70.44</v>
      </c>
      <c r="U8" s="118">
        <f t="shared" si="5"/>
        <v>2711.5275411697899</v>
      </c>
    </row>
    <row r="9" spans="1:21" ht="21.95" customHeight="1">
      <c r="A9" s="231"/>
      <c r="B9" s="242"/>
      <c r="C9" s="242"/>
      <c r="D9" s="135"/>
      <c r="E9" s="168">
        <v>5</v>
      </c>
      <c r="F9" s="167" t="s">
        <v>68</v>
      </c>
      <c r="H9" s="245"/>
      <c r="I9" s="156">
        <v>6</v>
      </c>
      <c r="J9" s="155">
        <v>1.7969999999999999</v>
      </c>
      <c r="K9" s="84">
        <f t="shared" si="0"/>
        <v>11</v>
      </c>
      <c r="L9" s="71">
        <f t="shared" si="1"/>
        <v>7.9374999999999973E-2</v>
      </c>
      <c r="M9" s="238"/>
      <c r="N9" s="154">
        <v>6</v>
      </c>
      <c r="O9" s="127" t="str">
        <f t="shared" si="2"/>
        <v>A27</v>
      </c>
      <c r="P9" s="128">
        <v>80.31</v>
      </c>
      <c r="R9" s="221"/>
      <c r="S9" s="127" t="str">
        <f t="shared" si="3"/>
        <v>A25</v>
      </c>
      <c r="T9" s="161">
        <f t="shared" si="4"/>
        <v>83.32</v>
      </c>
      <c r="U9" s="126">
        <f t="shared" si="5"/>
        <v>2292.3667786845899</v>
      </c>
    </row>
    <row r="10" spans="1:21" ht="21.95" customHeight="1">
      <c r="A10" s="231"/>
      <c r="B10" s="242"/>
      <c r="C10" s="242"/>
      <c r="D10" s="135"/>
      <c r="E10" s="149">
        <v>6</v>
      </c>
      <c r="F10" s="139" t="s">
        <v>71</v>
      </c>
      <c r="H10" s="245"/>
      <c r="I10" s="157">
        <v>7</v>
      </c>
      <c r="J10" s="150">
        <v>1.629</v>
      </c>
      <c r="K10" s="84">
        <f t="shared" si="0"/>
        <v>10</v>
      </c>
      <c r="L10" s="71">
        <f t="shared" si="1"/>
        <v>8.8624999999999954E-2</v>
      </c>
      <c r="M10" s="238"/>
      <c r="N10" s="143">
        <v>7</v>
      </c>
      <c r="O10" s="120" t="str">
        <f t="shared" si="2"/>
        <v>A28</v>
      </c>
      <c r="P10" s="136">
        <v>70.31</v>
      </c>
      <c r="R10" s="221"/>
      <c r="S10" s="120" t="str">
        <f t="shared" si="3"/>
        <v>A26</v>
      </c>
      <c r="T10" s="159">
        <f t="shared" si="4"/>
        <v>60.18</v>
      </c>
      <c r="U10" s="118">
        <f t="shared" si="5"/>
        <v>3173.8118976404121</v>
      </c>
    </row>
    <row r="11" spans="1:21" ht="21.95" customHeight="1" thickBot="1">
      <c r="A11" s="231"/>
      <c r="B11" s="242"/>
      <c r="C11" s="242"/>
      <c r="D11" s="135"/>
      <c r="E11" s="168">
        <v>7</v>
      </c>
      <c r="F11" s="167" t="s">
        <v>74</v>
      </c>
      <c r="H11" s="245"/>
      <c r="I11" s="166">
        <v>8</v>
      </c>
      <c r="J11" s="165">
        <v>1.7050000000000001</v>
      </c>
      <c r="K11" s="84">
        <f t="shared" si="0"/>
        <v>16</v>
      </c>
      <c r="L11" s="71">
        <f t="shared" si="1"/>
        <v>1.2624999999999886E-2</v>
      </c>
      <c r="M11" s="238"/>
      <c r="N11" s="144">
        <v>8</v>
      </c>
      <c r="O11" s="127" t="str">
        <f t="shared" si="2"/>
        <v>A29</v>
      </c>
      <c r="P11" s="128">
        <v>38.549999999999997</v>
      </c>
      <c r="R11" s="221"/>
      <c r="S11" s="144" t="str">
        <f t="shared" si="3"/>
        <v>A27</v>
      </c>
      <c r="T11" s="127">
        <f t="shared" si="4"/>
        <v>80.31</v>
      </c>
      <c r="U11" s="126">
        <f t="shared" si="5"/>
        <v>2378.2841489229236</v>
      </c>
    </row>
    <row r="12" spans="1:21" ht="21.95" customHeight="1" thickTop="1">
      <c r="A12" s="231"/>
      <c r="B12" s="242"/>
      <c r="C12" s="242"/>
      <c r="D12" s="135"/>
      <c r="E12" s="149">
        <v>8</v>
      </c>
      <c r="F12" s="152" t="s">
        <v>76</v>
      </c>
      <c r="H12" s="245"/>
      <c r="I12" s="164">
        <v>9</v>
      </c>
      <c r="J12" s="163"/>
      <c r="K12" s="84">
        <f t="shared" si="0"/>
        <v>1</v>
      </c>
      <c r="L12" s="71">
        <f t="shared" si="1"/>
        <v>1.717625</v>
      </c>
      <c r="M12" s="238"/>
      <c r="N12" s="137">
        <v>9</v>
      </c>
      <c r="O12" s="120" t="str">
        <f t="shared" si="2"/>
        <v>A30</v>
      </c>
      <c r="P12" s="136">
        <v>77</v>
      </c>
      <c r="R12" s="221"/>
      <c r="S12" s="143" t="str">
        <f t="shared" si="3"/>
        <v>A28</v>
      </c>
      <c r="T12" s="162">
        <f t="shared" si="4"/>
        <v>70.31</v>
      </c>
      <c r="U12" s="118">
        <f t="shared" si="5"/>
        <v>2716.5410325700468</v>
      </c>
    </row>
    <row r="13" spans="1:21" ht="21.95" customHeight="1">
      <c r="A13" s="231"/>
      <c r="B13" s="242"/>
      <c r="C13" s="242"/>
      <c r="D13" s="135"/>
      <c r="E13" s="148">
        <v>9</v>
      </c>
      <c r="F13" s="133" t="s">
        <v>90</v>
      </c>
      <c r="H13" s="245"/>
      <c r="I13" s="156">
        <v>10</v>
      </c>
      <c r="J13" s="155"/>
      <c r="K13" s="84">
        <f t="shared" si="0"/>
        <v>1</v>
      </c>
      <c r="L13" s="71">
        <f t="shared" si="1"/>
        <v>1.717625</v>
      </c>
      <c r="M13" s="238"/>
      <c r="N13" s="144">
        <v>10</v>
      </c>
      <c r="O13" s="127" t="str">
        <f t="shared" si="2"/>
        <v>A31</v>
      </c>
      <c r="P13" s="128">
        <v>88.22</v>
      </c>
      <c r="R13" s="221"/>
      <c r="S13" s="127" t="str">
        <f t="shared" si="3"/>
        <v>A29</v>
      </c>
      <c r="T13" s="161">
        <f t="shared" si="4"/>
        <v>38.549999999999997</v>
      </c>
      <c r="U13" s="126">
        <f t="shared" si="5"/>
        <v>4954.6044098573284</v>
      </c>
    </row>
    <row r="14" spans="1:21" ht="21.95" customHeight="1">
      <c r="A14" s="231"/>
      <c r="B14" s="242"/>
      <c r="C14" s="242"/>
      <c r="D14" s="135"/>
      <c r="E14" s="153">
        <v>10</v>
      </c>
      <c r="F14" s="160" t="s">
        <v>91</v>
      </c>
      <c r="H14" s="245"/>
      <c r="I14" s="157">
        <v>11</v>
      </c>
      <c r="J14" s="150"/>
      <c r="K14" s="84">
        <f t="shared" si="0"/>
        <v>1</v>
      </c>
      <c r="L14" s="71">
        <f t="shared" si="1"/>
        <v>1.717625</v>
      </c>
      <c r="M14" s="238"/>
      <c r="N14" s="137">
        <v>11</v>
      </c>
      <c r="O14" s="120" t="str">
        <f t="shared" si="2"/>
        <v>A32</v>
      </c>
      <c r="P14" s="136">
        <v>61.21</v>
      </c>
      <c r="R14" s="221"/>
      <c r="S14" s="143" t="str">
        <f t="shared" si="3"/>
        <v>A30</v>
      </c>
      <c r="T14" s="159">
        <f t="shared" si="4"/>
        <v>77</v>
      </c>
      <c r="U14" s="118">
        <f t="shared" si="5"/>
        <v>2480.5194805194806</v>
      </c>
    </row>
    <row r="15" spans="1:21" ht="21.95" customHeight="1">
      <c r="A15" s="231"/>
      <c r="B15" s="242"/>
      <c r="C15" s="242"/>
      <c r="D15" s="135"/>
      <c r="E15" s="148">
        <v>11</v>
      </c>
      <c r="F15" s="147" t="s">
        <v>101</v>
      </c>
      <c r="H15" s="245"/>
      <c r="I15" s="156">
        <v>12</v>
      </c>
      <c r="J15" s="155"/>
      <c r="K15" s="84">
        <f t="shared" si="0"/>
        <v>1</v>
      </c>
      <c r="L15" s="71">
        <f t="shared" si="1"/>
        <v>1.717625</v>
      </c>
      <c r="M15" s="238"/>
      <c r="N15" s="158">
        <v>12</v>
      </c>
      <c r="O15" s="127" t="str">
        <f t="shared" si="2"/>
        <v>A33</v>
      </c>
      <c r="P15" s="128">
        <v>76.540000000000006</v>
      </c>
      <c r="R15" s="221"/>
      <c r="S15" s="144" t="str">
        <f t="shared" si="3"/>
        <v>A31</v>
      </c>
      <c r="T15" s="127">
        <f t="shared" si="4"/>
        <v>88.22</v>
      </c>
      <c r="U15" s="126">
        <f t="shared" si="5"/>
        <v>2165.0419406030378</v>
      </c>
    </row>
    <row r="16" spans="1:21" ht="21.95" customHeight="1">
      <c r="A16" s="231"/>
      <c r="B16" s="242"/>
      <c r="C16" s="242"/>
      <c r="D16" s="135"/>
      <c r="E16" s="153">
        <v>12</v>
      </c>
      <c r="F16" s="152" t="s">
        <v>102</v>
      </c>
      <c r="H16" s="245"/>
      <c r="I16" s="157">
        <v>13</v>
      </c>
      <c r="J16" s="150"/>
      <c r="K16" s="84">
        <f t="shared" si="0"/>
        <v>1</v>
      </c>
      <c r="L16" s="71">
        <f t="shared" si="1"/>
        <v>1.717625</v>
      </c>
      <c r="M16" s="238"/>
      <c r="N16" s="143">
        <v>13</v>
      </c>
      <c r="O16" s="120" t="str">
        <f t="shared" si="2"/>
        <v>A34</v>
      </c>
      <c r="P16" s="136">
        <v>84.32</v>
      </c>
      <c r="R16" s="221"/>
      <c r="S16" s="120" t="str">
        <f t="shared" si="3"/>
        <v>A32</v>
      </c>
      <c r="T16" s="119">
        <f t="shared" si="4"/>
        <v>61.21</v>
      </c>
      <c r="U16" s="118">
        <f t="shared" si="5"/>
        <v>3120.4051625551378</v>
      </c>
    </row>
    <row r="17" spans="1:22" ht="21.95" customHeight="1">
      <c r="A17" s="231"/>
      <c r="B17" s="242"/>
      <c r="C17" s="242"/>
      <c r="D17" s="135"/>
      <c r="E17" s="148">
        <v>13</v>
      </c>
      <c r="F17" s="147" t="s">
        <v>103</v>
      </c>
      <c r="H17" s="245"/>
      <c r="I17" s="156">
        <v>14</v>
      </c>
      <c r="J17" s="155"/>
      <c r="K17" s="84">
        <f t="shared" si="0"/>
        <v>1</v>
      </c>
      <c r="L17" s="71">
        <f t="shared" si="1"/>
        <v>1.717625</v>
      </c>
      <c r="M17" s="238"/>
      <c r="N17" s="154">
        <v>14</v>
      </c>
      <c r="O17" s="127" t="str">
        <f t="shared" si="2"/>
        <v>A35</v>
      </c>
      <c r="P17" s="128">
        <v>78.13</v>
      </c>
      <c r="R17" s="221"/>
      <c r="S17" s="127" t="str">
        <f t="shared" si="3"/>
        <v>A33</v>
      </c>
      <c r="T17" s="127">
        <f t="shared" si="4"/>
        <v>76.540000000000006</v>
      </c>
      <c r="U17" s="126">
        <f t="shared" si="5"/>
        <v>2495.427227593415</v>
      </c>
    </row>
    <row r="18" spans="1:22" ht="21.95" customHeight="1">
      <c r="A18" s="231"/>
      <c r="B18" s="243" t="s">
        <v>195</v>
      </c>
      <c r="C18" s="244"/>
      <c r="D18" s="135"/>
      <c r="E18" s="153">
        <v>14</v>
      </c>
      <c r="F18" s="152" t="s">
        <v>104</v>
      </c>
      <c r="H18" s="245"/>
      <c r="I18" s="151">
        <v>15</v>
      </c>
      <c r="J18" s="150"/>
      <c r="K18" s="84">
        <f t="shared" si="0"/>
        <v>1</v>
      </c>
      <c r="L18" s="71">
        <f t="shared" si="1"/>
        <v>1.717625</v>
      </c>
      <c r="M18" s="238"/>
      <c r="N18" s="149">
        <v>15</v>
      </c>
      <c r="O18" s="120" t="str">
        <f t="shared" si="2"/>
        <v>A36</v>
      </c>
      <c r="P18" s="136">
        <v>83.91</v>
      </c>
      <c r="R18" s="221"/>
      <c r="S18" s="143" t="str">
        <f t="shared" si="3"/>
        <v>A34</v>
      </c>
      <c r="T18" s="119">
        <f t="shared" si="4"/>
        <v>84.32</v>
      </c>
      <c r="U18" s="118">
        <f t="shared" si="5"/>
        <v>2265.1802656546492</v>
      </c>
    </row>
    <row r="19" spans="1:22" ht="21.95" customHeight="1" thickBot="1">
      <c r="A19" s="231"/>
      <c r="B19" s="244"/>
      <c r="C19" s="244"/>
      <c r="D19" s="135"/>
      <c r="E19" s="148">
        <v>15</v>
      </c>
      <c r="F19" s="147" t="s">
        <v>108</v>
      </c>
      <c r="H19" s="245"/>
      <c r="I19" s="146">
        <v>16</v>
      </c>
      <c r="J19" s="145"/>
      <c r="K19" s="84">
        <f t="shared" si="0"/>
        <v>1</v>
      </c>
      <c r="L19" s="71">
        <f t="shared" si="1"/>
        <v>1.717625</v>
      </c>
      <c r="M19" s="238"/>
      <c r="N19" s="144">
        <v>16</v>
      </c>
      <c r="O19" s="127" t="str">
        <f t="shared" si="2"/>
        <v>A37</v>
      </c>
      <c r="P19" s="128">
        <v>71.400000000000006</v>
      </c>
      <c r="R19" s="221"/>
      <c r="S19" s="144" t="str">
        <f t="shared" si="3"/>
        <v>A35</v>
      </c>
      <c r="T19" s="127">
        <f t="shared" si="4"/>
        <v>78.13</v>
      </c>
      <c r="U19" s="126">
        <f t="shared" si="5"/>
        <v>2444.64354281326</v>
      </c>
    </row>
    <row r="20" spans="1:22" ht="21.95" customHeight="1" thickTop="1" thickBot="1">
      <c r="A20" s="231"/>
      <c r="B20" s="244"/>
      <c r="C20" s="244"/>
      <c r="D20" s="135"/>
      <c r="E20" s="140">
        <v>16</v>
      </c>
      <c r="F20" s="139" t="s">
        <v>109</v>
      </c>
      <c r="H20" s="245"/>
      <c r="I20" s="121"/>
      <c r="J20" s="65"/>
      <c r="M20" s="238"/>
      <c r="N20" s="137">
        <v>17</v>
      </c>
      <c r="O20" s="120" t="str">
        <f t="shared" si="2"/>
        <v>A38</v>
      </c>
      <c r="P20" s="136">
        <v>78.36</v>
      </c>
      <c r="R20" s="221"/>
      <c r="S20" s="143" t="str">
        <f t="shared" si="3"/>
        <v>A36</v>
      </c>
      <c r="T20" s="119">
        <f t="shared" si="4"/>
        <v>83.91</v>
      </c>
      <c r="U20" s="118">
        <f t="shared" si="5"/>
        <v>2276.2483613395307</v>
      </c>
    </row>
    <row r="21" spans="1:22" ht="21.95" customHeight="1" thickTop="1" thickBot="1">
      <c r="A21" s="231"/>
      <c r="B21" s="244"/>
      <c r="C21" s="244"/>
      <c r="D21" s="135"/>
      <c r="E21" s="142">
        <v>17</v>
      </c>
      <c r="F21" s="133" t="s">
        <v>110</v>
      </c>
      <c r="H21" s="245"/>
      <c r="I21" s="107" t="s">
        <v>194</v>
      </c>
      <c r="J21" s="93">
        <f>IFERROR((I59/J23)*100,"---")</f>
        <v>3.9952297291744725</v>
      </c>
      <c r="M21" s="238"/>
      <c r="N21" s="141">
        <v>18</v>
      </c>
      <c r="O21" s="127" t="str">
        <f t="shared" si="2"/>
        <v>A39</v>
      </c>
      <c r="P21" s="128">
        <v>75.260000000000005</v>
      </c>
      <c r="R21" s="221"/>
      <c r="S21" s="127" t="str">
        <f t="shared" si="3"/>
        <v>A37</v>
      </c>
      <c r="T21" s="127">
        <f t="shared" si="4"/>
        <v>71.400000000000006</v>
      </c>
      <c r="U21" s="126">
        <f t="shared" si="5"/>
        <v>2675.0700280112042</v>
      </c>
    </row>
    <row r="22" spans="1:22" ht="21.95" customHeight="1" thickTop="1" thickBot="1">
      <c r="A22" s="231"/>
      <c r="B22" s="244"/>
      <c r="C22" s="244"/>
      <c r="D22" s="135"/>
      <c r="E22" s="140">
        <v>18</v>
      </c>
      <c r="F22" s="139" t="s">
        <v>111</v>
      </c>
      <c r="H22" s="138"/>
      <c r="K22" s="95"/>
      <c r="M22" s="238"/>
      <c r="N22" s="137">
        <v>19</v>
      </c>
      <c r="O22" s="120" t="str">
        <f t="shared" si="2"/>
        <v>A40</v>
      </c>
      <c r="P22" s="136">
        <v>62.73</v>
      </c>
      <c r="R22" s="221"/>
      <c r="S22" s="120" t="str">
        <f t="shared" si="3"/>
        <v>A38</v>
      </c>
      <c r="T22" s="119">
        <f t="shared" si="4"/>
        <v>78.36</v>
      </c>
      <c r="U22" s="118">
        <f t="shared" si="5"/>
        <v>2437.4680959673301</v>
      </c>
    </row>
    <row r="23" spans="1:22" ht="21.95" customHeight="1" thickTop="1" thickBot="1">
      <c r="A23" s="231"/>
      <c r="B23" s="244"/>
      <c r="C23" s="244"/>
      <c r="D23" s="135"/>
      <c r="E23" s="134">
        <v>19</v>
      </c>
      <c r="F23" s="133" t="s">
        <v>112</v>
      </c>
      <c r="H23" s="132" t="s">
        <v>193</v>
      </c>
      <c r="I23" s="131" t="s">
        <v>192</v>
      </c>
      <c r="J23" s="130">
        <f>IFERROR(AVERAGE(J4:J11),"---")</f>
        <v>1.717625</v>
      </c>
      <c r="M23" s="238"/>
      <c r="N23" s="129">
        <v>20</v>
      </c>
      <c r="O23" s="114" t="str">
        <f t="shared" si="2"/>
        <v>A41</v>
      </c>
      <c r="P23" s="128">
        <v>42.95</v>
      </c>
      <c r="R23" s="221"/>
      <c r="S23" s="127" t="str">
        <f t="shared" si="3"/>
        <v>A39</v>
      </c>
      <c r="T23" s="127">
        <f t="shared" si="4"/>
        <v>75.260000000000005</v>
      </c>
      <c r="U23" s="126">
        <f t="shared" si="5"/>
        <v>2537.8687217645493</v>
      </c>
    </row>
    <row r="24" spans="1:22" ht="21.95" customHeight="1" thickTop="1" thickBot="1">
      <c r="A24" s="231"/>
      <c r="B24" s="244"/>
      <c r="C24" s="244"/>
      <c r="E24" s="125">
        <v>20</v>
      </c>
      <c r="F24" s="124" t="s">
        <v>113</v>
      </c>
      <c r="H24" s="200" t="s">
        <v>191</v>
      </c>
      <c r="I24" s="104" t="s">
        <v>170</v>
      </c>
      <c r="J24" s="123">
        <f>J23</f>
        <v>1.717625</v>
      </c>
      <c r="M24" s="238"/>
      <c r="O24" s="122"/>
      <c r="P24" s="121"/>
      <c r="Q24" s="95"/>
      <c r="R24" s="221"/>
      <c r="S24" s="120" t="str">
        <f t="shared" si="3"/>
        <v>A40</v>
      </c>
      <c r="T24" s="119">
        <f t="shared" si="4"/>
        <v>62.73</v>
      </c>
      <c r="U24" s="118">
        <f t="shared" si="5"/>
        <v>3044.7951538338916</v>
      </c>
    </row>
    <row r="25" spans="1:22" ht="21.95" customHeight="1" thickTop="1" thickBot="1">
      <c r="A25" s="231"/>
      <c r="B25" s="117"/>
      <c r="C25" s="117"/>
      <c r="E25" s="116"/>
      <c r="H25" s="200"/>
      <c r="I25" s="104" t="s">
        <v>190</v>
      </c>
      <c r="J25" s="115">
        <f>J23</f>
        <v>1.717625</v>
      </c>
      <c r="M25" s="238"/>
      <c r="N25" s="232" t="s">
        <v>189</v>
      </c>
      <c r="O25" s="233"/>
      <c r="P25" s="93">
        <f>IFERROR((T64/P27)*100,"---")</f>
        <v>23.430880241945236</v>
      </c>
      <c r="R25" s="222"/>
      <c r="S25" s="114" t="str">
        <f t="shared" si="3"/>
        <v>A41</v>
      </c>
      <c r="T25" s="114">
        <f t="shared" si="4"/>
        <v>42.95</v>
      </c>
      <c r="U25" s="113">
        <f t="shared" si="5"/>
        <v>4447.0314318975552</v>
      </c>
      <c r="V25" s="95"/>
    </row>
    <row r="26" spans="1:22" ht="21.95" customHeight="1" thickTop="1" thickBot="1">
      <c r="A26" s="231"/>
      <c r="B26" s="246"/>
      <c r="C26" s="246"/>
      <c r="D26" s="246"/>
      <c r="E26" s="246"/>
      <c r="F26" s="246"/>
      <c r="H26" s="200"/>
      <c r="I26" s="104" t="s">
        <v>188</v>
      </c>
      <c r="J26" s="112">
        <f>J23</f>
        <v>1.717625</v>
      </c>
      <c r="M26" s="238"/>
      <c r="N26" s="208"/>
      <c r="O26" s="208"/>
      <c r="P26" s="208"/>
      <c r="Q26" s="95"/>
    </row>
    <row r="27" spans="1:22" ht="21.95" customHeight="1" thickTop="1" thickBot="1">
      <c r="A27" s="231"/>
      <c r="B27" s="246"/>
      <c r="C27" s="246"/>
      <c r="D27" s="246"/>
      <c r="E27" s="246"/>
      <c r="F27" s="246"/>
      <c r="H27" s="200"/>
      <c r="I27" s="104" t="s">
        <v>167</v>
      </c>
      <c r="J27" s="111">
        <f>J23</f>
        <v>1.717625</v>
      </c>
      <c r="M27" s="238"/>
      <c r="N27" s="210" t="s">
        <v>187</v>
      </c>
      <c r="O27" s="211"/>
      <c r="P27" s="110">
        <f>IFERROR(AVERAGE(P4:P23),"---")</f>
        <v>70.051999999999992</v>
      </c>
    </row>
    <row r="28" spans="1:22" ht="21.95" customHeight="1" thickTop="1" thickBot="1">
      <c r="A28" s="231"/>
      <c r="B28" s="246"/>
      <c r="C28" s="246"/>
      <c r="D28" s="246"/>
      <c r="E28" s="246"/>
      <c r="F28" s="246"/>
      <c r="H28" s="200"/>
      <c r="I28" s="102" t="s">
        <v>166</v>
      </c>
      <c r="J28" s="109">
        <f>J23</f>
        <v>1.717625</v>
      </c>
      <c r="M28" s="238"/>
      <c r="N28" s="208"/>
      <c r="O28" s="208"/>
      <c r="P28" s="208"/>
      <c r="Q28" s="95"/>
    </row>
    <row r="29" spans="1:22" ht="21.95" customHeight="1" thickTop="1" thickBot="1">
      <c r="A29" s="231"/>
      <c r="B29" s="246"/>
      <c r="C29" s="246"/>
      <c r="D29" s="246"/>
      <c r="E29" s="246"/>
      <c r="F29" s="246"/>
      <c r="H29" s="200"/>
      <c r="K29" s="95"/>
      <c r="M29" s="238"/>
      <c r="N29" s="212" t="s">
        <v>186</v>
      </c>
      <c r="O29" s="213"/>
      <c r="P29" s="108">
        <f>IFERROR(T72,"---")</f>
        <v>76.398327754791282</v>
      </c>
    </row>
    <row r="30" spans="1:22" ht="21.95" customHeight="1" thickTop="1" thickBot="1">
      <c r="A30" s="231"/>
      <c r="B30" s="105"/>
      <c r="C30" s="105"/>
      <c r="D30" s="105"/>
      <c r="E30" s="105"/>
      <c r="F30" s="105"/>
      <c r="H30" s="200"/>
      <c r="I30" s="107" t="s">
        <v>185</v>
      </c>
      <c r="J30" s="66">
        <v>1.718</v>
      </c>
      <c r="M30" s="238"/>
      <c r="N30" s="214" t="s">
        <v>184</v>
      </c>
      <c r="O30" s="215"/>
      <c r="P30" s="106">
        <f>P29</f>
        <v>76.398327754791282</v>
      </c>
    </row>
    <row r="31" spans="1:22" ht="21.95" customHeight="1" thickTop="1" thickBot="1">
      <c r="A31" s="231"/>
      <c r="B31" s="105"/>
      <c r="C31" s="105"/>
      <c r="D31" s="105"/>
      <c r="E31" s="105"/>
      <c r="F31" s="105"/>
      <c r="H31" s="200"/>
      <c r="J31" s="65"/>
      <c r="M31" s="238"/>
      <c r="N31" s="216" t="s">
        <v>183</v>
      </c>
      <c r="O31" s="217"/>
      <c r="P31" s="103">
        <f>P29</f>
        <v>76.398327754791282</v>
      </c>
    </row>
    <row r="32" spans="1:22" ht="21.95" customHeight="1" thickTop="1" thickBot="1">
      <c r="A32" s="231"/>
      <c r="B32" s="97"/>
      <c r="C32" s="97"/>
      <c r="H32" s="200"/>
      <c r="I32" s="240" t="s">
        <v>182</v>
      </c>
      <c r="J32" s="241"/>
      <c r="M32" s="238"/>
      <c r="N32" s="198" t="s">
        <v>181</v>
      </c>
      <c r="O32" s="199"/>
      <c r="P32" s="101">
        <f>P29</f>
        <v>76.398327754791282</v>
      </c>
    </row>
    <row r="33" spans="1:17" ht="21.95" customHeight="1" thickTop="1" thickBot="1">
      <c r="A33" s="231"/>
      <c r="B33" s="97"/>
      <c r="C33" s="97"/>
      <c r="H33" s="200"/>
      <c r="I33" s="62" t="s">
        <v>163</v>
      </c>
      <c r="J33" s="100">
        <f>IF(J30*25=0,"",J30*25)</f>
        <v>42.95</v>
      </c>
      <c r="M33" s="238"/>
      <c r="N33" s="209"/>
      <c r="O33" s="209"/>
      <c r="P33" s="209"/>
      <c r="Q33" s="95"/>
    </row>
    <row r="34" spans="1:17" ht="21.95" customHeight="1" thickTop="1" thickBot="1">
      <c r="A34" s="231"/>
      <c r="B34" s="97"/>
      <c r="C34" s="97"/>
      <c r="H34" s="200"/>
      <c r="I34" s="99" t="s">
        <v>162</v>
      </c>
      <c r="J34" s="58">
        <f>IFERROR(J33*10,"")</f>
        <v>429.5</v>
      </c>
      <c r="M34" s="238"/>
      <c r="N34" s="218" t="s">
        <v>180</v>
      </c>
      <c r="O34" s="218"/>
      <c r="P34" s="98">
        <v>76.400000000000006</v>
      </c>
      <c r="Q34" s="91"/>
    </row>
    <row r="35" spans="1:17" ht="21.95" customHeight="1" thickTop="1" thickBot="1">
      <c r="A35" s="231"/>
      <c r="B35" s="97"/>
      <c r="C35" s="97"/>
      <c r="H35" s="200"/>
      <c r="J35" s="65"/>
      <c r="M35" s="238"/>
      <c r="N35" s="96"/>
      <c r="O35" s="96"/>
      <c r="P35" s="96"/>
      <c r="Q35" s="95"/>
    </row>
    <row r="36" spans="1:17" ht="21.95" customHeight="1" thickTop="1" thickBot="1">
      <c r="A36" s="78"/>
      <c r="B36" s="77"/>
      <c r="C36" s="77"/>
      <c r="H36" s="200"/>
      <c r="I36" s="94" t="s">
        <v>179</v>
      </c>
      <c r="J36" s="93">
        <f>IFERROR((I60/J45)*100, "")</f>
        <v>3.9952297291744725</v>
      </c>
      <c r="M36" s="239"/>
      <c r="N36" s="218" t="s">
        <v>178</v>
      </c>
      <c r="O36" s="218"/>
      <c r="P36" s="92">
        <f>IF(10*P34=0,"", 10*P34)</f>
        <v>764</v>
      </c>
      <c r="Q36" s="91"/>
    </row>
    <row r="37" spans="1:17" ht="21.95" customHeight="1" thickTop="1" thickBot="1">
      <c r="A37" s="78"/>
      <c r="B37" s="77"/>
      <c r="C37" s="77"/>
      <c r="H37" s="200"/>
      <c r="J37" s="65"/>
    </row>
    <row r="38" spans="1:17" ht="21.95" customHeight="1" thickTop="1">
      <c r="A38" s="78"/>
      <c r="B38" s="77"/>
      <c r="C38" s="77"/>
      <c r="H38" s="200"/>
      <c r="I38" s="196" t="s">
        <v>177</v>
      </c>
      <c r="J38" s="197"/>
    </row>
    <row r="39" spans="1:17" ht="21.95" customHeight="1">
      <c r="A39" s="78"/>
      <c r="B39" s="77"/>
      <c r="C39" s="77"/>
      <c r="H39" s="200"/>
      <c r="I39" s="202" t="s">
        <v>176</v>
      </c>
      <c r="J39" s="203"/>
    </row>
    <row r="40" spans="1:17" ht="21.95" customHeight="1">
      <c r="A40" s="78"/>
      <c r="B40" s="77"/>
      <c r="C40" s="77"/>
      <c r="H40" s="200"/>
      <c r="I40" s="204"/>
      <c r="J40" s="205"/>
      <c r="K40" s="90"/>
    </row>
    <row r="41" spans="1:17" ht="21.95" customHeight="1">
      <c r="A41" s="78"/>
      <c r="B41" s="77"/>
      <c r="C41" s="77"/>
      <c r="H41" s="200"/>
      <c r="I41" s="89" t="s">
        <v>175</v>
      </c>
      <c r="J41" s="88" t="s">
        <v>174</v>
      </c>
      <c r="K41" s="87"/>
    </row>
    <row r="42" spans="1:17" ht="21.95" customHeight="1">
      <c r="A42" s="78"/>
      <c r="B42" s="77"/>
      <c r="C42" s="77"/>
      <c r="H42" s="200"/>
      <c r="I42" s="86" t="s">
        <v>173</v>
      </c>
      <c r="J42" s="85" t="str">
        <f>IFERROR(K95,"")</f>
        <v>NO</v>
      </c>
      <c r="K42" s="84"/>
      <c r="L42" s="71"/>
    </row>
    <row r="43" spans="1:17" ht="21.95" customHeight="1" thickBot="1">
      <c r="A43" s="78"/>
      <c r="B43" s="77"/>
      <c r="C43" s="77"/>
      <c r="H43" s="200"/>
      <c r="I43" s="83" t="s">
        <v>172</v>
      </c>
      <c r="J43" s="82" t="str">
        <f>IFERROR(K126,"")</f>
        <v>NO</v>
      </c>
      <c r="L43" s="71"/>
      <c r="M43" s="81"/>
    </row>
    <row r="44" spans="1:17" ht="21.95" customHeight="1" thickTop="1" thickBot="1">
      <c r="A44" s="78"/>
      <c r="B44" s="77"/>
      <c r="C44" s="77"/>
      <c r="H44" s="200"/>
      <c r="J44" s="65"/>
      <c r="L44" s="71"/>
    </row>
    <row r="45" spans="1:17" ht="21.95" customHeight="1" thickTop="1">
      <c r="A45" s="78"/>
      <c r="B45" s="77"/>
      <c r="C45" s="77"/>
      <c r="H45" s="200"/>
      <c r="I45" s="80" t="s">
        <v>171</v>
      </c>
      <c r="J45" s="79">
        <f>IFERROR(AVERAGE(J4:J19),"---")</f>
        <v>1.717625</v>
      </c>
      <c r="L45" s="71"/>
    </row>
    <row r="46" spans="1:17" ht="21.95" customHeight="1">
      <c r="A46" s="78"/>
      <c r="B46" s="77"/>
      <c r="C46" s="77"/>
      <c r="H46" s="200"/>
      <c r="I46" s="104" t="s">
        <v>170</v>
      </c>
      <c r="J46" s="76">
        <f>J45</f>
        <v>1.717625</v>
      </c>
      <c r="L46" s="71"/>
    </row>
    <row r="47" spans="1:17" ht="21.95" customHeight="1">
      <c r="H47" s="200"/>
      <c r="I47" s="104" t="s">
        <v>169</v>
      </c>
      <c r="J47" s="75">
        <f>J45</f>
        <v>1.717625</v>
      </c>
      <c r="L47" s="71"/>
    </row>
    <row r="48" spans="1:17" ht="21.95" customHeight="1">
      <c r="H48" s="200"/>
      <c r="I48" s="104" t="s">
        <v>168</v>
      </c>
      <c r="J48" s="74">
        <f>J45</f>
        <v>1.717625</v>
      </c>
      <c r="L48" s="71"/>
    </row>
    <row r="49" spans="6:20" ht="21.95" customHeight="1">
      <c r="H49" s="200"/>
      <c r="I49" s="104" t="s">
        <v>167</v>
      </c>
      <c r="J49" s="72">
        <f>J45</f>
        <v>1.717625</v>
      </c>
      <c r="L49" s="71"/>
    </row>
    <row r="50" spans="6:20" ht="21.95" customHeight="1" thickBot="1">
      <c r="H50" s="200"/>
      <c r="I50" s="102" t="s">
        <v>166</v>
      </c>
      <c r="J50" s="69">
        <f>J45</f>
        <v>1.717625</v>
      </c>
    </row>
    <row r="51" spans="6:20" ht="21.95" customHeight="1" thickTop="1" thickBot="1">
      <c r="H51" s="200"/>
      <c r="K51" s="68"/>
    </row>
    <row r="52" spans="6:20" ht="21.95" customHeight="1" thickTop="1" thickBot="1">
      <c r="H52" s="200"/>
      <c r="I52" s="67" t="s">
        <v>165</v>
      </c>
      <c r="J52" s="66"/>
    </row>
    <row r="53" spans="6:20" ht="21.95" customHeight="1" thickTop="1" thickBot="1">
      <c r="H53" s="200"/>
      <c r="J53" s="65"/>
      <c r="K53" s="64"/>
    </row>
    <row r="54" spans="6:20" ht="21.95" customHeight="1" thickTop="1">
      <c r="H54" s="200"/>
      <c r="I54" s="206" t="s">
        <v>164</v>
      </c>
      <c r="J54" s="207"/>
      <c r="K54" s="63"/>
    </row>
    <row r="55" spans="6:20" ht="21.95" customHeight="1">
      <c r="H55" s="200"/>
      <c r="I55" s="62" t="s">
        <v>163</v>
      </c>
      <c r="J55" s="61" t="str">
        <f>IF(J52*25=0,"", J52*25)</f>
        <v/>
      </c>
      <c r="K55" s="60"/>
    </row>
    <row r="56" spans="6:20" ht="20.100000000000001" customHeight="1" thickBot="1">
      <c r="H56" s="201"/>
      <c r="I56" s="59" t="s">
        <v>162</v>
      </c>
      <c r="J56" s="58" t="str">
        <f>IFERROR(J55*10,"")</f>
        <v/>
      </c>
      <c r="K56" s="57"/>
    </row>
    <row r="57" spans="6:20" ht="21.95" customHeight="1" thickTop="1">
      <c r="H57" s="56"/>
      <c r="K57" s="55"/>
    </row>
    <row r="58" spans="6:20" ht="5.0999999999999996" customHeight="1">
      <c r="F58" s="23"/>
      <c r="G58" s="23"/>
      <c r="H58" s="23"/>
      <c r="I58" s="23"/>
      <c r="J58" s="23"/>
      <c r="K58" s="23"/>
      <c r="L58" s="23"/>
      <c r="M58" s="23"/>
      <c r="N58" s="23"/>
      <c r="O58" s="23"/>
      <c r="P58" s="23"/>
      <c r="Q58" s="23"/>
    </row>
    <row r="59" spans="6:20" ht="0.95" hidden="1" customHeight="1">
      <c r="F59" s="23"/>
      <c r="G59" s="23"/>
      <c r="H59" s="54" t="s">
        <v>161</v>
      </c>
      <c r="I59" s="23">
        <f>_xlfn.STDEV.S(J4:J11)</f>
        <v>6.8623064635733033E-2</v>
      </c>
      <c r="J59" s="23"/>
      <c r="K59" s="23"/>
      <c r="L59" s="23"/>
      <c r="M59" s="23"/>
      <c r="N59" s="23"/>
      <c r="O59" s="23"/>
      <c r="P59" s="23"/>
      <c r="Q59" s="23"/>
    </row>
    <row r="60" spans="6:20" ht="0.95" hidden="1" customHeight="1">
      <c r="F60" s="23"/>
      <c r="G60" s="23"/>
      <c r="H60" s="54" t="s">
        <v>160</v>
      </c>
      <c r="I60" s="23">
        <f>_xlfn.STDEV.S(J4:J19)</f>
        <v>6.8623064635733033E-2</v>
      </c>
      <c r="J60" s="23"/>
      <c r="K60" s="23"/>
      <c r="L60" s="23"/>
      <c r="M60" s="23"/>
      <c r="N60" s="23"/>
      <c r="O60" s="23"/>
      <c r="P60" s="23"/>
      <c r="Q60" s="23"/>
    </row>
    <row r="61" spans="6:20" ht="0.95" hidden="1" customHeight="1">
      <c r="F61" s="23"/>
      <c r="G61" s="23"/>
      <c r="H61" s="23" t="s">
        <v>159</v>
      </c>
      <c r="I61" s="23"/>
      <c r="J61" s="23"/>
      <c r="K61" s="23"/>
      <c r="L61" s="23"/>
      <c r="M61" s="23"/>
      <c r="N61" s="23"/>
      <c r="O61" s="39"/>
      <c r="P61" s="39" t="s">
        <v>158</v>
      </c>
      <c r="Q61" s="39"/>
      <c r="R61" s="48" t="s">
        <v>157</v>
      </c>
      <c r="S61" s="48"/>
      <c r="T61" s="53">
        <f>P27</f>
        <v>70.051999999999992</v>
      </c>
    </row>
    <row r="62" spans="6:20" ht="0.95" hidden="1" customHeight="1">
      <c r="F62" s="23"/>
      <c r="G62" s="39" t="s">
        <v>156</v>
      </c>
      <c r="H62" s="39"/>
      <c r="I62" s="23" t="str">
        <f>IFERROR(_xlfn.STDEV.S(#REF!),"---")</f>
        <v>---</v>
      </c>
      <c r="J62" s="23"/>
      <c r="K62" s="23"/>
      <c r="L62" s="23"/>
      <c r="M62" s="23"/>
      <c r="N62" s="23"/>
      <c r="O62" s="39"/>
      <c r="P62" s="49">
        <v>145</v>
      </c>
      <c r="Q62" s="39"/>
      <c r="R62" s="48" t="s">
        <v>155</v>
      </c>
      <c r="S62" s="48"/>
      <c r="T62" s="50">
        <f>COUNTA(P4:P23)</f>
        <v>20</v>
      </c>
    </row>
    <row r="63" spans="6:20" ht="0.95" hidden="1" customHeight="1">
      <c r="F63" s="23"/>
      <c r="G63" s="39">
        <v>1</v>
      </c>
      <c r="H63" s="47">
        <f t="shared" ref="H63:H78" si="6">J4</f>
        <v>1.76</v>
      </c>
      <c r="I63" s="23">
        <f>IFERROR(_xlfn.STDEV.S(J4:J19),"---")</f>
        <v>6.8623064635733033E-2</v>
      </c>
      <c r="J63" s="23"/>
      <c r="K63" s="23"/>
      <c r="L63" s="23"/>
      <c r="M63" s="23"/>
      <c r="N63" s="23"/>
      <c r="O63" s="39"/>
      <c r="P63" s="49">
        <v>125</v>
      </c>
      <c r="Q63" s="39"/>
      <c r="R63" s="48" t="s">
        <v>154</v>
      </c>
      <c r="S63" s="48"/>
      <c r="T63" s="50">
        <f>T61</f>
        <v>70.051999999999992</v>
      </c>
    </row>
    <row r="64" spans="6:20" ht="0.95" hidden="1" customHeight="1">
      <c r="F64" s="23"/>
      <c r="G64" s="39">
        <v>2</v>
      </c>
      <c r="H64" s="47">
        <f t="shared" si="6"/>
        <v>1.7909999999999999</v>
      </c>
      <c r="I64" s="23">
        <v>16</v>
      </c>
      <c r="J64" s="23"/>
      <c r="K64" s="23"/>
      <c r="L64" s="23"/>
      <c r="M64" s="23"/>
      <c r="N64" s="23"/>
      <c r="O64" s="39"/>
      <c r="P64" s="49">
        <v>190</v>
      </c>
      <c r="Q64" s="39"/>
      <c r="R64" s="48" t="s">
        <v>153</v>
      </c>
      <c r="S64" s="48"/>
      <c r="T64" s="50">
        <f>_xlfn.STDEV.S(P4:P23)</f>
        <v>16.413800227087474</v>
      </c>
    </row>
    <row r="65" spans="6:20" ht="0.95" hidden="1" customHeight="1">
      <c r="F65" s="23"/>
      <c r="G65" s="39">
        <v>3</v>
      </c>
      <c r="H65" s="47">
        <f t="shared" si="6"/>
        <v>1.7410000000000001</v>
      </c>
      <c r="I65" s="23"/>
      <c r="J65" s="37"/>
      <c r="K65" s="52" t="s">
        <v>152</v>
      </c>
      <c r="L65" s="23"/>
      <c r="M65" s="23"/>
      <c r="N65" s="23"/>
      <c r="O65" s="39"/>
      <c r="P65" s="49">
        <v>135</v>
      </c>
      <c r="Q65" s="39"/>
      <c r="R65" s="48" t="s">
        <v>127</v>
      </c>
      <c r="S65" s="48"/>
      <c r="T65" s="50">
        <f>T62-1</f>
        <v>19</v>
      </c>
    </row>
    <row r="66" spans="6:20" ht="0.95" hidden="1" customHeight="1">
      <c r="F66" s="23"/>
      <c r="G66" s="39">
        <v>4</v>
      </c>
      <c r="H66" s="47">
        <f t="shared" si="6"/>
        <v>1.704</v>
      </c>
      <c r="I66" s="23"/>
      <c r="J66" s="33">
        <v>1</v>
      </c>
      <c r="K66" s="44">
        <f t="shared" ref="K66:K81" si="7">LARGE(H$63:H$78,J66)</f>
        <v>1.7969999999999999</v>
      </c>
      <c r="L66" s="23"/>
      <c r="M66" s="23"/>
      <c r="N66" s="23"/>
      <c r="O66" s="39"/>
      <c r="P66" s="49">
        <v>220</v>
      </c>
      <c r="Q66" s="39"/>
      <c r="R66" s="48" t="s">
        <v>151</v>
      </c>
      <c r="S66" s="48"/>
      <c r="T66" s="51" t="s">
        <v>150</v>
      </c>
    </row>
    <row r="67" spans="6:20" ht="33.950000000000003" hidden="1" customHeight="1">
      <c r="F67" s="23"/>
      <c r="G67" s="39">
        <v>5</v>
      </c>
      <c r="H67" s="47">
        <f t="shared" si="6"/>
        <v>1.6140000000000001</v>
      </c>
      <c r="I67" s="23"/>
      <c r="J67" s="33">
        <v>2</v>
      </c>
      <c r="K67" s="44">
        <f t="shared" si="7"/>
        <v>1.7909999999999999</v>
      </c>
      <c r="L67" s="23"/>
      <c r="M67" s="23"/>
      <c r="N67" s="23"/>
      <c r="O67" s="39"/>
      <c r="P67" s="49">
        <v>130</v>
      </c>
      <c r="Q67" s="39"/>
      <c r="R67" s="48"/>
      <c r="S67" s="48"/>
      <c r="T67" s="51"/>
    </row>
    <row r="68" spans="6:20" ht="33.950000000000003" hidden="1" customHeight="1">
      <c r="F68" s="23"/>
      <c r="G68" s="39">
        <v>6</v>
      </c>
      <c r="H68" s="47">
        <f t="shared" si="6"/>
        <v>1.7969999999999999</v>
      </c>
      <c r="I68" s="23"/>
      <c r="J68" s="33">
        <v>3</v>
      </c>
      <c r="K68" s="44">
        <f t="shared" si="7"/>
        <v>1.76</v>
      </c>
      <c r="L68" s="23"/>
      <c r="M68" s="23"/>
      <c r="N68" s="23"/>
      <c r="O68" s="39"/>
      <c r="P68" s="49">
        <v>210</v>
      </c>
      <c r="Q68" s="39"/>
      <c r="R68" s="48"/>
      <c r="S68" s="48"/>
      <c r="T68" s="51"/>
    </row>
    <row r="69" spans="6:20" ht="33.950000000000003" hidden="1" customHeight="1">
      <c r="F69" s="23"/>
      <c r="G69" s="39">
        <v>7</v>
      </c>
      <c r="H69" s="47">
        <f t="shared" si="6"/>
        <v>1.629</v>
      </c>
      <c r="I69" s="23"/>
      <c r="J69" s="33">
        <v>4</v>
      </c>
      <c r="K69" s="44">
        <f t="shared" si="7"/>
        <v>1.7410000000000001</v>
      </c>
      <c r="L69" s="23"/>
      <c r="M69" s="23"/>
      <c r="N69" s="23"/>
      <c r="O69" s="39"/>
      <c r="P69" s="49">
        <v>3</v>
      </c>
      <c r="Q69" s="39"/>
      <c r="R69" s="48" t="s">
        <v>149</v>
      </c>
      <c r="S69" s="48"/>
      <c r="T69" s="51" t="s">
        <v>148</v>
      </c>
    </row>
    <row r="70" spans="6:20" ht="33.950000000000003" hidden="1" customHeight="1">
      <c r="F70" s="23"/>
      <c r="G70" s="39">
        <v>8</v>
      </c>
      <c r="H70" s="47">
        <f t="shared" si="6"/>
        <v>1.7050000000000001</v>
      </c>
      <c r="I70" s="23"/>
      <c r="J70" s="33">
        <v>5</v>
      </c>
      <c r="K70" s="44">
        <f t="shared" si="7"/>
        <v>1.7050000000000001</v>
      </c>
      <c r="L70" s="23"/>
      <c r="M70" s="23"/>
      <c r="N70" s="23"/>
      <c r="O70" s="39"/>
      <c r="P70" s="49">
        <v>165</v>
      </c>
      <c r="Q70" s="39"/>
      <c r="R70" s="48" t="s">
        <v>147</v>
      </c>
      <c r="S70" s="48"/>
      <c r="T70" s="50">
        <f>T64/SQRT(T62)</f>
        <v>3.6702373076869077</v>
      </c>
    </row>
    <row r="71" spans="6:20" ht="33.950000000000003" hidden="1" customHeight="1">
      <c r="F71" s="23"/>
      <c r="G71" s="39">
        <v>9</v>
      </c>
      <c r="H71" s="47">
        <f t="shared" si="6"/>
        <v>0</v>
      </c>
      <c r="I71" s="23"/>
      <c r="J71" s="33">
        <v>6</v>
      </c>
      <c r="K71" s="44">
        <f t="shared" si="7"/>
        <v>1.704</v>
      </c>
      <c r="L71" s="23"/>
      <c r="M71" s="23"/>
      <c r="N71" s="23"/>
      <c r="O71" s="39"/>
      <c r="P71" s="49">
        <v>165</v>
      </c>
      <c r="Q71" s="39"/>
      <c r="R71" s="48" t="s">
        <v>146</v>
      </c>
      <c r="S71" s="48"/>
      <c r="T71" s="50">
        <f>_xlfn.T.INV(0.05,T65)</f>
        <v>-1.7291328115213698</v>
      </c>
    </row>
    <row r="72" spans="6:20" ht="33.950000000000003" hidden="1" customHeight="1">
      <c r="F72" s="23"/>
      <c r="G72" s="39">
        <v>10</v>
      </c>
      <c r="H72" s="47">
        <f t="shared" si="6"/>
        <v>0</v>
      </c>
      <c r="I72" s="23"/>
      <c r="J72" s="33">
        <v>7</v>
      </c>
      <c r="K72" s="44">
        <f t="shared" si="7"/>
        <v>1.629</v>
      </c>
      <c r="L72" s="23"/>
      <c r="M72" s="23"/>
      <c r="N72" s="23"/>
      <c r="O72" s="39"/>
      <c r="P72" s="49">
        <v>150</v>
      </c>
      <c r="Q72" s="39"/>
      <c r="R72" s="48" t="s">
        <v>145</v>
      </c>
      <c r="S72" s="48"/>
      <c r="T72" s="48">
        <f>T63-(T71*T70)</f>
        <v>76.398327754791282</v>
      </c>
    </row>
    <row r="73" spans="6:20" ht="33.950000000000003" hidden="1" customHeight="1">
      <c r="F73" s="23"/>
      <c r="G73" s="39">
        <v>11</v>
      </c>
      <c r="H73" s="47">
        <f t="shared" si="6"/>
        <v>0</v>
      </c>
      <c r="I73" s="23"/>
      <c r="J73" s="33">
        <v>8</v>
      </c>
      <c r="K73" s="44">
        <f t="shared" si="7"/>
        <v>1.6140000000000001</v>
      </c>
      <c r="L73" s="23"/>
      <c r="M73" s="23"/>
      <c r="N73" s="23"/>
      <c r="O73" s="39" t="s">
        <v>134</v>
      </c>
      <c r="P73" s="39">
        <f>AVERAGE(P62:P72)</f>
        <v>148.90909090909091</v>
      </c>
      <c r="Q73" s="39"/>
      <c r="R73" s="48" t="s">
        <v>144</v>
      </c>
      <c r="S73" s="48"/>
      <c r="T73" s="48">
        <f>T63+(T71*T70)</f>
        <v>63.70567224520871</v>
      </c>
    </row>
    <row r="74" spans="6:20" ht="33.950000000000003" hidden="1" customHeight="1">
      <c r="F74" s="23"/>
      <c r="G74" s="39">
        <v>12</v>
      </c>
      <c r="H74" s="47">
        <f t="shared" si="6"/>
        <v>0</v>
      </c>
      <c r="I74" s="23"/>
      <c r="J74" s="33">
        <v>9</v>
      </c>
      <c r="K74" s="44">
        <f t="shared" si="7"/>
        <v>0</v>
      </c>
      <c r="L74" s="23"/>
      <c r="M74" s="23"/>
      <c r="N74" s="23"/>
      <c r="O74" s="39" t="s">
        <v>25</v>
      </c>
      <c r="P74" s="39">
        <f>_xlfn.STDEV.S(P62:P72)</f>
        <v>57.810820000160085</v>
      </c>
      <c r="Q74" s="39"/>
    </row>
    <row r="75" spans="6:20" ht="3" hidden="1" customHeight="1">
      <c r="F75" s="23"/>
      <c r="G75" s="39">
        <v>13</v>
      </c>
      <c r="H75" s="47">
        <f t="shared" si="6"/>
        <v>0</v>
      </c>
      <c r="I75" s="23"/>
      <c r="J75" s="33">
        <v>10</v>
      </c>
      <c r="K75" s="44">
        <f t="shared" si="7"/>
        <v>0</v>
      </c>
      <c r="L75" s="23"/>
      <c r="M75" s="23"/>
      <c r="N75" s="23"/>
      <c r="O75" s="39" t="s">
        <v>133</v>
      </c>
      <c r="P75" s="39">
        <f>MIN(P62:P72)</f>
        <v>3</v>
      </c>
      <c r="Q75" s="39"/>
    </row>
    <row r="76" spans="6:20" ht="0.95" hidden="1" customHeight="1">
      <c r="F76" s="23"/>
      <c r="G76" s="39">
        <v>14</v>
      </c>
      <c r="H76" s="47">
        <f t="shared" si="6"/>
        <v>0</v>
      </c>
      <c r="I76" s="23"/>
      <c r="J76" s="33">
        <v>11</v>
      </c>
      <c r="K76" s="44">
        <f t="shared" si="7"/>
        <v>0</v>
      </c>
      <c r="L76" s="23"/>
      <c r="M76" s="23"/>
      <c r="N76" s="23"/>
      <c r="O76" s="39" t="s">
        <v>129</v>
      </c>
      <c r="P76" s="39">
        <f>(P73-P75)/P74</f>
        <v>2.5239062671777854</v>
      </c>
      <c r="Q76" s="39"/>
    </row>
    <row r="77" spans="6:20" ht="0.95" hidden="1" customHeight="1">
      <c r="F77" s="23"/>
      <c r="G77" s="39">
        <v>15</v>
      </c>
      <c r="H77" s="47">
        <f t="shared" si="6"/>
        <v>0</v>
      </c>
      <c r="I77" s="23"/>
      <c r="J77" s="33">
        <v>12</v>
      </c>
      <c r="K77" s="44">
        <f t="shared" si="7"/>
        <v>0</v>
      </c>
      <c r="L77" s="23"/>
      <c r="M77" s="23"/>
      <c r="N77" s="23"/>
      <c r="O77" s="39" t="s">
        <v>143</v>
      </c>
      <c r="P77" s="39">
        <v>0.05</v>
      </c>
      <c r="Q77" s="39"/>
    </row>
    <row r="78" spans="6:20" ht="0.95" hidden="1" customHeight="1">
      <c r="F78" s="23"/>
      <c r="G78" s="39">
        <v>16</v>
      </c>
      <c r="H78" s="47">
        <f t="shared" si="6"/>
        <v>0</v>
      </c>
      <c r="I78" s="23"/>
      <c r="J78" s="33">
        <v>13</v>
      </c>
      <c r="K78" s="44">
        <f t="shared" si="7"/>
        <v>0</v>
      </c>
      <c r="L78" s="23"/>
      <c r="M78" s="23"/>
      <c r="N78" s="23"/>
      <c r="O78" s="39" t="s">
        <v>128</v>
      </c>
      <c r="P78" s="39">
        <v>11</v>
      </c>
      <c r="Q78" s="46" t="s">
        <v>134</v>
      </c>
    </row>
    <row r="79" spans="6:20" ht="0.95" hidden="1" customHeight="1">
      <c r="F79" s="23"/>
      <c r="G79" s="23"/>
      <c r="H79" s="26"/>
      <c r="I79" s="23"/>
      <c r="J79" s="33">
        <v>14</v>
      </c>
      <c r="K79" s="44">
        <f t="shared" si="7"/>
        <v>0</v>
      </c>
      <c r="L79" s="23"/>
      <c r="M79" s="23"/>
      <c r="N79" s="23"/>
      <c r="O79" s="39" t="s">
        <v>140</v>
      </c>
      <c r="P79" s="39">
        <f>P77/P78</f>
        <v>4.5454545454545461E-3</v>
      </c>
      <c r="Q79" s="45" t="s">
        <v>25</v>
      </c>
    </row>
    <row r="80" spans="6:20" ht="0.95" hidden="1" customHeight="1">
      <c r="F80" s="23"/>
      <c r="G80" s="23"/>
      <c r="H80" s="26"/>
      <c r="I80" s="23"/>
      <c r="J80" s="33">
        <v>15</v>
      </c>
      <c r="K80" s="44">
        <f t="shared" si="7"/>
        <v>0</v>
      </c>
      <c r="L80" s="23"/>
      <c r="M80" s="23"/>
      <c r="N80" s="23"/>
      <c r="O80" s="39" t="s">
        <v>127</v>
      </c>
      <c r="P80" s="39">
        <f>P78-2</f>
        <v>9</v>
      </c>
      <c r="Q80" s="45" t="s">
        <v>133</v>
      </c>
    </row>
    <row r="81" spans="6:17" ht="0.95" hidden="1" customHeight="1">
      <c r="F81" s="23"/>
      <c r="G81" s="23"/>
      <c r="H81" s="23"/>
      <c r="I81" s="23"/>
      <c r="J81" s="33">
        <v>16</v>
      </c>
      <c r="K81" s="44">
        <f t="shared" si="7"/>
        <v>0</v>
      </c>
      <c r="L81" s="23"/>
      <c r="M81" s="23"/>
      <c r="N81" s="23"/>
      <c r="O81" s="39" t="s">
        <v>126</v>
      </c>
      <c r="P81" s="39">
        <f>_xlfn.T.INV(1-P79,P80)</f>
        <v>3.3095169292973794</v>
      </c>
      <c r="Q81" s="41" t="s">
        <v>142</v>
      </c>
    </row>
    <row r="82" spans="6:17" ht="0.95" hidden="1" customHeight="1">
      <c r="F82" s="23"/>
      <c r="G82" s="23"/>
      <c r="H82" s="23"/>
      <c r="I82" s="23"/>
      <c r="J82" s="31" t="s">
        <v>135</v>
      </c>
      <c r="K82" s="43">
        <v>0.05</v>
      </c>
      <c r="L82" s="23"/>
      <c r="M82" s="23"/>
      <c r="N82" s="23"/>
      <c r="O82" s="39" t="s">
        <v>125</v>
      </c>
      <c r="P82" s="39">
        <f>(P78-1)*P81/SQRT(P78*(P80+(P81^2)))</f>
        <v>2.2339077064682873</v>
      </c>
      <c r="Q82" s="41" t="s">
        <v>129</v>
      </c>
    </row>
    <row r="83" spans="6:17" ht="0.95" hidden="1" customHeight="1">
      <c r="F83" s="23"/>
      <c r="G83" s="23"/>
      <c r="H83" s="23"/>
      <c r="I83" s="23"/>
      <c r="J83" s="25" t="s">
        <v>134</v>
      </c>
      <c r="K83" s="42">
        <f>AVERAGE(K66:K81)</f>
        <v>0.85881250000000009</v>
      </c>
      <c r="L83" s="23"/>
      <c r="M83" s="23"/>
      <c r="N83" s="23"/>
      <c r="O83" s="39"/>
      <c r="P83" s="39"/>
      <c r="Q83" s="41" t="s">
        <v>135</v>
      </c>
    </row>
    <row r="84" spans="6:17" ht="0.95" hidden="1" customHeight="1">
      <c r="F84" s="23"/>
      <c r="G84" s="23"/>
      <c r="H84" s="23"/>
      <c r="I84" s="23"/>
      <c r="J84" s="25" t="s">
        <v>25</v>
      </c>
      <c r="K84" s="38">
        <f>_xlfn.STDEV.S(K66:K81)</f>
        <v>0.88821568092064951</v>
      </c>
      <c r="L84" s="23"/>
      <c r="M84" s="23"/>
      <c r="N84" s="23"/>
      <c r="O84" s="39"/>
      <c r="P84" s="39"/>
      <c r="Q84" s="41" t="s">
        <v>141</v>
      </c>
    </row>
    <row r="85" spans="6:17" ht="33.950000000000003" hidden="1" customHeight="1">
      <c r="F85" s="23"/>
      <c r="G85" s="23"/>
      <c r="H85" s="23"/>
      <c r="I85" s="23"/>
      <c r="J85" s="25" t="s">
        <v>133</v>
      </c>
      <c r="K85" s="42">
        <f>MIN(K66:K81)</f>
        <v>0</v>
      </c>
      <c r="L85" s="23"/>
      <c r="M85" s="23"/>
      <c r="N85" s="23"/>
      <c r="O85" s="39"/>
      <c r="P85" s="39"/>
      <c r="Q85" s="41" t="s">
        <v>140</v>
      </c>
    </row>
    <row r="86" spans="6:17" ht="33.950000000000003" hidden="1" customHeight="1">
      <c r="F86" s="23"/>
      <c r="G86" s="23"/>
      <c r="H86" s="23"/>
      <c r="I86" s="23"/>
      <c r="J86" s="25" t="s">
        <v>132</v>
      </c>
      <c r="K86" s="42">
        <f>MAX(K66:K81)</f>
        <v>1.7969999999999999</v>
      </c>
      <c r="L86" s="23"/>
      <c r="M86" s="23"/>
      <c r="N86" s="23"/>
      <c r="O86" s="39"/>
      <c r="P86" s="39"/>
      <c r="Q86" s="41" t="s">
        <v>127</v>
      </c>
    </row>
    <row r="87" spans="6:17" ht="33.950000000000003" hidden="1" customHeight="1">
      <c r="F87" s="23"/>
      <c r="G87" s="23"/>
      <c r="H87" s="23"/>
      <c r="I87" s="23"/>
      <c r="J87" s="25" t="s">
        <v>131</v>
      </c>
      <c r="K87" s="40">
        <f>K83-K85</f>
        <v>0.85881250000000009</v>
      </c>
      <c r="L87" s="23"/>
      <c r="M87" s="23"/>
      <c r="N87" s="23"/>
      <c r="O87" s="39"/>
      <c r="P87" s="39"/>
      <c r="Q87" s="39" t="s">
        <v>126</v>
      </c>
    </row>
    <row r="88" spans="6:17" ht="33.950000000000003" hidden="1" customHeight="1">
      <c r="F88" s="23"/>
      <c r="G88" s="23"/>
      <c r="H88" s="23"/>
      <c r="I88" s="23"/>
      <c r="J88" s="25" t="s">
        <v>130</v>
      </c>
      <c r="K88" s="40">
        <f>K86-K83</f>
        <v>0.93818749999999984</v>
      </c>
      <c r="L88" s="23"/>
      <c r="M88" s="23"/>
      <c r="N88" s="23"/>
      <c r="O88" s="39"/>
      <c r="P88" s="39"/>
      <c r="Q88" s="39" t="s">
        <v>139</v>
      </c>
    </row>
    <row r="89" spans="6:17" ht="33.950000000000003" hidden="1" customHeight="1">
      <c r="F89" s="23"/>
      <c r="G89" s="23"/>
      <c r="H89" s="23"/>
      <c r="I89" s="23"/>
      <c r="J89" s="25" t="s">
        <v>129</v>
      </c>
      <c r="K89" s="38">
        <f>MAX(K87:K88)/K84</f>
        <v>1.0562609061658919</v>
      </c>
      <c r="L89" s="23"/>
      <c r="M89" s="23"/>
      <c r="N89" s="23"/>
      <c r="O89" s="39"/>
      <c r="P89" s="39"/>
      <c r="Q89" s="39"/>
    </row>
    <row r="90" spans="6:17" ht="33.950000000000003" hidden="1" customHeight="1">
      <c r="F90" s="23"/>
      <c r="G90" s="23"/>
      <c r="H90" s="23"/>
      <c r="I90" s="23"/>
      <c r="J90" s="25" t="s">
        <v>128</v>
      </c>
      <c r="K90" s="38">
        <f>COUNT(K66:K81)</f>
        <v>16</v>
      </c>
      <c r="L90" s="23"/>
      <c r="M90" s="23"/>
      <c r="N90" s="23"/>
      <c r="O90" s="39"/>
      <c r="P90" s="39"/>
      <c r="Q90" s="39"/>
    </row>
    <row r="91" spans="6:17" ht="33.950000000000003" hidden="1" customHeight="1">
      <c r="F91" s="23"/>
      <c r="G91" s="23"/>
      <c r="H91" s="23"/>
      <c r="I91" s="23"/>
      <c r="J91" s="25" t="s">
        <v>124</v>
      </c>
      <c r="K91" s="38">
        <f>K82/K90</f>
        <v>3.1250000000000002E-3</v>
      </c>
      <c r="L91" s="23"/>
      <c r="M91" s="23"/>
      <c r="N91" s="23"/>
      <c r="O91" s="39"/>
      <c r="P91" s="39"/>
      <c r="Q91" s="39"/>
    </row>
    <row r="92" spans="6:17" ht="33.950000000000003" hidden="1" customHeight="1">
      <c r="F92" s="23"/>
      <c r="G92" s="23"/>
      <c r="H92" s="23"/>
      <c r="I92" s="23"/>
      <c r="J92" s="25" t="s">
        <v>127</v>
      </c>
      <c r="K92" s="38">
        <f>K90-2</f>
        <v>14</v>
      </c>
      <c r="L92" s="23"/>
      <c r="M92" s="23"/>
      <c r="N92" s="23"/>
      <c r="O92" s="23"/>
      <c r="P92" s="23"/>
      <c r="Q92" s="23"/>
    </row>
    <row r="93" spans="6:17" ht="33.950000000000003" hidden="1" customHeight="1">
      <c r="F93" s="23"/>
      <c r="G93" s="23"/>
      <c r="H93" s="23"/>
      <c r="I93" s="23"/>
      <c r="J93" s="25" t="s">
        <v>126</v>
      </c>
      <c r="K93" s="38">
        <f>TINV(K91,K92)</f>
        <v>3.5620894950023954</v>
      </c>
      <c r="L93" s="23"/>
      <c r="M93" s="23"/>
      <c r="N93" s="23"/>
      <c r="O93" s="23"/>
      <c r="P93" s="23"/>
      <c r="Q93" s="23"/>
    </row>
    <row r="94" spans="6:17" ht="33.950000000000003" hidden="1" customHeight="1">
      <c r="F94" s="23"/>
      <c r="G94" s="23"/>
      <c r="H94" s="23"/>
      <c r="I94" s="23"/>
      <c r="J94" s="25" t="s">
        <v>125</v>
      </c>
      <c r="K94" s="38">
        <f>(K90-1)*K93/SQRT(K90*(K92+K93^2))</f>
        <v>2.5856763406719638</v>
      </c>
      <c r="L94" s="23"/>
      <c r="M94" s="23"/>
      <c r="N94" s="23"/>
      <c r="O94" s="23"/>
      <c r="P94" s="23"/>
      <c r="Q94" s="23"/>
    </row>
    <row r="95" spans="6:17" ht="33.950000000000003" hidden="1" customHeight="1">
      <c r="F95" s="23"/>
      <c r="G95" s="23"/>
      <c r="H95" s="23"/>
      <c r="I95" s="23"/>
      <c r="J95" s="25" t="s">
        <v>124</v>
      </c>
      <c r="K95" s="38" t="str">
        <f>IF(K89&gt;K94,"YES","NO")</f>
        <v>NO</v>
      </c>
      <c r="L95" s="23"/>
      <c r="M95" s="23"/>
      <c r="N95" s="23"/>
      <c r="O95" s="23"/>
      <c r="P95" s="23"/>
      <c r="Q95" s="23"/>
    </row>
    <row r="96" spans="6:17" ht="33.950000000000003" hidden="1" customHeight="1">
      <c r="F96" s="23"/>
      <c r="G96" s="23"/>
      <c r="H96" s="26"/>
      <c r="I96" s="23"/>
      <c r="J96" s="26"/>
      <c r="K96" s="23"/>
      <c r="L96" s="23"/>
      <c r="M96" s="23"/>
      <c r="N96" s="23"/>
      <c r="O96" s="23"/>
      <c r="P96" s="23"/>
      <c r="Q96" s="23"/>
    </row>
    <row r="97" spans="6:17" ht="33.950000000000003" hidden="1" customHeight="1">
      <c r="F97" s="23"/>
      <c r="G97" s="23"/>
      <c r="H97" s="29"/>
      <c r="I97" s="23"/>
      <c r="J97" s="37"/>
      <c r="K97" s="36" t="s">
        <v>138</v>
      </c>
      <c r="L97" s="23"/>
      <c r="M97" s="23"/>
      <c r="N97" s="23"/>
      <c r="O97" s="23"/>
      <c r="P97" s="23"/>
      <c r="Q97" s="23"/>
    </row>
    <row r="98" spans="6:17" ht="11.1" hidden="1" customHeight="1">
      <c r="F98" s="23"/>
      <c r="G98" s="23"/>
      <c r="H98" s="29"/>
      <c r="I98" s="23"/>
      <c r="J98" s="33">
        <v>1</v>
      </c>
      <c r="K98" s="32">
        <f t="shared" ref="K98:K112" si="8">K67</f>
        <v>1.7909999999999999</v>
      </c>
      <c r="L98" s="23"/>
      <c r="M98" s="23"/>
      <c r="N98" s="23"/>
      <c r="O98" s="23"/>
      <c r="P98" s="23"/>
      <c r="Q98" s="23"/>
    </row>
    <row r="99" spans="6:17" ht="0.95" hidden="1" customHeight="1">
      <c r="F99" s="23"/>
      <c r="G99" s="23"/>
      <c r="H99" s="29"/>
      <c r="I99" s="23"/>
      <c r="J99" s="33">
        <v>2</v>
      </c>
      <c r="K99" s="32">
        <f t="shared" si="8"/>
        <v>1.76</v>
      </c>
      <c r="L99" s="23"/>
      <c r="M99" s="23"/>
      <c r="N99" s="23"/>
      <c r="O99" s="23"/>
      <c r="P99" s="23"/>
      <c r="Q99" s="23"/>
    </row>
    <row r="100" spans="6:17" ht="0.95" hidden="1" customHeight="1">
      <c r="F100" s="23"/>
      <c r="G100" s="23"/>
      <c r="H100" s="29"/>
      <c r="I100" s="23"/>
      <c r="J100" s="33">
        <v>3</v>
      </c>
      <c r="K100" s="32">
        <f t="shared" si="8"/>
        <v>1.7410000000000001</v>
      </c>
      <c r="L100" s="23"/>
      <c r="M100" s="23"/>
      <c r="N100" s="23"/>
      <c r="O100" s="23"/>
      <c r="P100" s="23"/>
      <c r="Q100" s="23"/>
    </row>
    <row r="101" spans="6:17" ht="0.95" hidden="1" customHeight="1">
      <c r="F101" s="23"/>
      <c r="G101" s="23"/>
      <c r="H101" s="29"/>
      <c r="I101" s="23"/>
      <c r="J101" s="33">
        <v>4</v>
      </c>
      <c r="K101" s="32">
        <f t="shared" si="8"/>
        <v>1.7050000000000001</v>
      </c>
      <c r="L101" s="23"/>
      <c r="M101" s="23"/>
      <c r="N101" s="23"/>
      <c r="O101" s="23"/>
      <c r="P101" s="23"/>
      <c r="Q101" s="23"/>
    </row>
    <row r="102" spans="6:17" ht="0.95" hidden="1" customHeight="1">
      <c r="F102" s="23"/>
      <c r="G102" s="23"/>
      <c r="H102" s="29"/>
      <c r="I102" s="23"/>
      <c r="J102" s="33">
        <v>5</v>
      </c>
      <c r="K102" s="32">
        <f t="shared" si="8"/>
        <v>1.704</v>
      </c>
      <c r="L102" s="23"/>
      <c r="M102" s="23"/>
      <c r="N102" s="23"/>
      <c r="O102" s="23"/>
      <c r="P102" s="23"/>
      <c r="Q102" s="23"/>
    </row>
    <row r="103" spans="6:17" ht="0.95" hidden="1" customHeight="1">
      <c r="F103" s="23"/>
      <c r="G103" s="23"/>
      <c r="H103" s="29"/>
      <c r="I103" s="23"/>
      <c r="J103" s="33">
        <v>6</v>
      </c>
      <c r="K103" s="32">
        <f t="shared" si="8"/>
        <v>1.629</v>
      </c>
      <c r="L103" s="23"/>
      <c r="M103" s="23"/>
      <c r="N103" s="23"/>
      <c r="O103" s="23"/>
      <c r="P103" s="23"/>
      <c r="Q103" s="23"/>
    </row>
    <row r="104" spans="6:17" ht="0.95" hidden="1" customHeight="1">
      <c r="F104" s="23"/>
      <c r="G104" s="23"/>
      <c r="H104" s="29"/>
      <c r="I104" s="23"/>
      <c r="J104" s="33">
        <v>7</v>
      </c>
      <c r="K104" s="32">
        <f t="shared" si="8"/>
        <v>1.6140000000000001</v>
      </c>
      <c r="L104" s="23"/>
      <c r="M104" s="23"/>
      <c r="N104" s="23"/>
      <c r="O104" s="23"/>
      <c r="P104" s="23"/>
      <c r="Q104" s="23"/>
    </row>
    <row r="105" spans="6:17" ht="0.95" hidden="1" customHeight="1">
      <c r="F105" s="23"/>
      <c r="G105" s="23"/>
      <c r="H105" s="29"/>
      <c r="I105" s="23"/>
      <c r="J105" s="33">
        <v>8</v>
      </c>
      <c r="K105" s="32">
        <f t="shared" si="8"/>
        <v>0</v>
      </c>
      <c r="L105" s="23"/>
      <c r="M105" s="23"/>
      <c r="N105" s="23"/>
      <c r="O105" s="23"/>
      <c r="P105" s="23"/>
      <c r="Q105" s="23"/>
    </row>
    <row r="106" spans="6:17" ht="0.95" hidden="1" customHeight="1">
      <c r="F106" s="23"/>
      <c r="G106" s="23"/>
      <c r="H106" s="29"/>
      <c r="I106" s="23"/>
      <c r="J106" s="33">
        <v>9</v>
      </c>
      <c r="K106" s="32">
        <f t="shared" si="8"/>
        <v>0</v>
      </c>
      <c r="L106" s="23"/>
      <c r="M106" s="23"/>
      <c r="N106" s="23"/>
      <c r="O106" s="23"/>
      <c r="P106" s="23"/>
      <c r="Q106" s="23"/>
    </row>
    <row r="107" spans="6:17" ht="0.95" hidden="1" customHeight="1">
      <c r="F107" s="23"/>
      <c r="G107" s="23"/>
      <c r="H107" s="29"/>
      <c r="I107" s="23"/>
      <c r="J107" s="33">
        <v>10</v>
      </c>
      <c r="K107" s="32">
        <f t="shared" si="8"/>
        <v>0</v>
      </c>
      <c r="L107" s="23"/>
      <c r="M107" s="23"/>
      <c r="N107" s="23"/>
      <c r="O107" s="23"/>
      <c r="P107" s="23"/>
      <c r="Q107" s="23"/>
    </row>
    <row r="108" spans="6:17" ht="0.95" hidden="1" customHeight="1">
      <c r="F108" s="23"/>
      <c r="G108" s="23"/>
      <c r="H108" s="29"/>
      <c r="I108" s="23"/>
      <c r="J108" s="33">
        <v>11</v>
      </c>
      <c r="K108" s="32">
        <f t="shared" si="8"/>
        <v>0</v>
      </c>
      <c r="L108" s="23"/>
      <c r="M108" s="23"/>
      <c r="N108" s="23"/>
      <c r="O108" s="23"/>
      <c r="P108" s="23"/>
      <c r="Q108" s="23"/>
    </row>
    <row r="109" spans="6:17" ht="0.95" hidden="1" customHeight="1">
      <c r="F109" s="23"/>
      <c r="G109" s="23"/>
      <c r="H109" s="29"/>
      <c r="I109" s="23"/>
      <c r="J109" s="33">
        <v>12</v>
      </c>
      <c r="K109" s="32">
        <f t="shared" si="8"/>
        <v>0</v>
      </c>
      <c r="L109" s="23"/>
      <c r="M109" s="23"/>
      <c r="N109" s="23"/>
      <c r="O109" s="23"/>
      <c r="P109" s="23"/>
      <c r="Q109" s="23"/>
    </row>
    <row r="110" spans="6:17" ht="0.95" hidden="1" customHeight="1">
      <c r="F110" s="23"/>
      <c r="G110" s="23"/>
      <c r="H110" s="29"/>
      <c r="I110" s="23"/>
      <c r="J110" s="33">
        <v>13</v>
      </c>
      <c r="K110" s="32">
        <f t="shared" si="8"/>
        <v>0</v>
      </c>
      <c r="L110" s="23"/>
      <c r="M110" s="23"/>
      <c r="N110" s="23"/>
      <c r="O110" s="23"/>
      <c r="P110" s="23"/>
      <c r="Q110" s="23"/>
    </row>
    <row r="111" spans="6:17" ht="0.95" hidden="1" customHeight="1">
      <c r="F111" s="23"/>
      <c r="G111" s="23"/>
      <c r="H111" s="29"/>
      <c r="I111" s="23"/>
      <c r="J111" s="33">
        <v>14</v>
      </c>
      <c r="K111" s="32">
        <f t="shared" si="8"/>
        <v>0</v>
      </c>
      <c r="L111" s="23"/>
      <c r="M111" s="23"/>
      <c r="N111" s="23"/>
      <c r="O111" s="23"/>
      <c r="P111" s="23"/>
      <c r="Q111" s="23"/>
    </row>
    <row r="112" spans="6:17" ht="3" hidden="1" customHeight="1">
      <c r="F112" s="23"/>
      <c r="G112" s="23"/>
      <c r="H112" s="23"/>
      <c r="I112" s="23"/>
      <c r="J112" s="33">
        <v>15</v>
      </c>
      <c r="K112" s="32">
        <f t="shared" si="8"/>
        <v>0</v>
      </c>
      <c r="L112" s="23"/>
      <c r="M112" s="23"/>
      <c r="N112" s="23"/>
      <c r="O112" s="23"/>
      <c r="P112" s="23"/>
      <c r="Q112" s="23"/>
    </row>
    <row r="113" spans="6:17" ht="0.95" hidden="1" customHeight="1">
      <c r="F113" s="23"/>
      <c r="G113" s="23"/>
      <c r="H113" s="23"/>
      <c r="I113" s="23"/>
      <c r="J113" s="31" t="s">
        <v>135</v>
      </c>
      <c r="K113" s="30">
        <v>0.05</v>
      </c>
      <c r="L113" s="23"/>
      <c r="M113" s="23"/>
      <c r="N113" s="23"/>
      <c r="O113" s="23"/>
      <c r="P113" s="23"/>
      <c r="Q113" s="23"/>
    </row>
    <row r="114" spans="6:17" ht="0.95" hidden="1" customHeight="1">
      <c r="F114" s="23"/>
      <c r="G114" s="23"/>
      <c r="H114" s="23"/>
      <c r="I114" s="23"/>
      <c r="J114" s="25" t="s">
        <v>134</v>
      </c>
      <c r="K114" s="28">
        <f>AVERAGE(K98:K112)</f>
        <v>0.79626666666666668</v>
      </c>
      <c r="L114" s="23"/>
      <c r="M114" s="23"/>
      <c r="N114" s="23"/>
      <c r="O114" s="23"/>
      <c r="P114" s="23"/>
      <c r="Q114" s="23"/>
    </row>
    <row r="115" spans="6:17" ht="0.95" hidden="1" customHeight="1">
      <c r="F115" s="23"/>
      <c r="G115" s="23"/>
      <c r="H115" s="23"/>
      <c r="I115" s="23"/>
      <c r="J115" s="25" t="s">
        <v>25</v>
      </c>
      <c r="K115" s="24">
        <f>_xlfn.STDEV.S(K98:K112)</f>
        <v>0.88216579804370965</v>
      </c>
      <c r="L115" s="23"/>
      <c r="M115" s="23"/>
      <c r="N115" s="23"/>
      <c r="O115" s="23"/>
      <c r="P115" s="23"/>
      <c r="Q115" s="23"/>
    </row>
    <row r="116" spans="6:17" ht="0.95" hidden="1" customHeight="1">
      <c r="F116" s="23"/>
      <c r="G116" s="23"/>
      <c r="H116" s="23"/>
      <c r="I116" s="23"/>
      <c r="J116" s="25" t="s">
        <v>133</v>
      </c>
      <c r="K116" s="28">
        <f>MIN(K98:K112)</f>
        <v>0</v>
      </c>
      <c r="L116" s="23"/>
      <c r="M116" s="23"/>
      <c r="N116" s="23"/>
      <c r="O116" s="23"/>
      <c r="P116" s="23"/>
      <c r="Q116" s="23"/>
    </row>
    <row r="117" spans="6:17" ht="0.95" hidden="1" customHeight="1">
      <c r="F117" s="23"/>
      <c r="G117" s="23"/>
      <c r="H117" s="23"/>
      <c r="I117" s="23"/>
      <c r="J117" s="25" t="s">
        <v>132</v>
      </c>
      <c r="K117" s="28">
        <f>MAX(K98:K112)</f>
        <v>1.7909999999999999</v>
      </c>
      <c r="L117" s="23"/>
      <c r="M117" s="23"/>
      <c r="N117" s="23"/>
      <c r="O117" s="23"/>
      <c r="P117" s="23"/>
      <c r="Q117" s="23"/>
    </row>
    <row r="118" spans="6:17" ht="0.95" hidden="1" customHeight="1">
      <c r="F118" s="23"/>
      <c r="G118" s="23"/>
      <c r="H118" s="23"/>
      <c r="I118" s="23"/>
      <c r="J118" s="25" t="s">
        <v>131</v>
      </c>
      <c r="K118" s="27">
        <f>K114-K116</f>
        <v>0.79626666666666668</v>
      </c>
      <c r="L118" s="23"/>
      <c r="M118" s="23"/>
      <c r="N118" s="23"/>
      <c r="O118" s="23"/>
      <c r="P118" s="23"/>
      <c r="Q118" s="23"/>
    </row>
    <row r="119" spans="6:17" ht="0.95" hidden="1" customHeight="1">
      <c r="F119" s="23"/>
      <c r="G119" s="23"/>
      <c r="H119" s="23"/>
      <c r="I119" s="23"/>
      <c r="J119" s="25" t="s">
        <v>130</v>
      </c>
      <c r="K119" s="27">
        <f>K117-K114</f>
        <v>0.99473333333333325</v>
      </c>
      <c r="L119" s="23"/>
      <c r="M119" s="23"/>
      <c r="N119" s="23"/>
      <c r="O119" s="23"/>
      <c r="P119" s="23"/>
      <c r="Q119" s="23"/>
    </row>
    <row r="120" spans="6:17" ht="0.95" hidden="1" customHeight="1">
      <c r="F120" s="23"/>
      <c r="G120" s="23"/>
      <c r="H120" s="23"/>
      <c r="I120" s="23"/>
      <c r="J120" s="25" t="s">
        <v>129</v>
      </c>
      <c r="K120" s="24">
        <f>MAX(K118:K119)/K115</f>
        <v>1.1276036041515702</v>
      </c>
      <c r="L120" s="23"/>
      <c r="M120" s="23"/>
      <c r="N120" s="23"/>
      <c r="O120" s="23"/>
      <c r="P120" s="23"/>
      <c r="Q120" s="23"/>
    </row>
    <row r="121" spans="6:17" ht="0.95" hidden="1" customHeight="1">
      <c r="F121" s="23"/>
      <c r="G121" s="23"/>
      <c r="H121" s="23"/>
      <c r="I121" s="23"/>
      <c r="J121" s="25" t="s">
        <v>128</v>
      </c>
      <c r="K121" s="24">
        <f>COUNT(K97:K112)</f>
        <v>15</v>
      </c>
      <c r="L121" s="23"/>
      <c r="M121" s="23"/>
      <c r="N121" s="23"/>
      <c r="O121" s="23"/>
      <c r="P121" s="23"/>
      <c r="Q121" s="23"/>
    </row>
    <row r="122" spans="6:17" ht="0.95" hidden="1" customHeight="1">
      <c r="F122" s="23"/>
      <c r="G122" s="23"/>
      <c r="H122" s="23"/>
      <c r="I122" s="23"/>
      <c r="J122" s="25" t="s">
        <v>124</v>
      </c>
      <c r="K122" s="24">
        <f>K113/K121</f>
        <v>3.3333333333333335E-3</v>
      </c>
      <c r="L122" s="23"/>
      <c r="M122" s="23"/>
      <c r="N122" s="23"/>
      <c r="O122" s="23"/>
      <c r="P122" s="23"/>
      <c r="Q122" s="23"/>
    </row>
    <row r="123" spans="6:17" ht="0.95" hidden="1" customHeight="1">
      <c r="F123" s="23"/>
      <c r="G123" s="23"/>
      <c r="H123" s="23"/>
      <c r="I123" s="23"/>
      <c r="J123" s="25" t="s">
        <v>127</v>
      </c>
      <c r="K123" s="24">
        <f>K121-2</f>
        <v>13</v>
      </c>
      <c r="L123" s="23"/>
      <c r="M123" s="23"/>
      <c r="N123" s="23"/>
      <c r="O123" s="23"/>
      <c r="P123" s="23"/>
      <c r="Q123" s="23"/>
    </row>
    <row r="124" spans="6:17" ht="0.95" hidden="1" customHeight="1">
      <c r="F124" s="23"/>
      <c r="G124" s="23"/>
      <c r="H124" s="23"/>
      <c r="I124" s="23"/>
      <c r="J124" s="25" t="s">
        <v>126</v>
      </c>
      <c r="K124" s="24">
        <f>TINV(K122,K123)</f>
        <v>3.5838393924732448</v>
      </c>
      <c r="L124" s="23"/>
      <c r="M124" s="23"/>
      <c r="N124" s="23"/>
      <c r="O124" s="23"/>
      <c r="P124" s="23"/>
      <c r="Q124" s="23"/>
    </row>
    <row r="125" spans="6:17" ht="0.95" hidden="1" customHeight="1">
      <c r="F125" s="23"/>
      <c r="G125" s="23"/>
      <c r="H125" s="23"/>
      <c r="I125" s="23"/>
      <c r="J125" s="25" t="s">
        <v>125</v>
      </c>
      <c r="K125" s="24">
        <f>(K121-1)*K124/SQRT(K121*(K123+K124^2))</f>
        <v>2.5483077717433442</v>
      </c>
      <c r="L125" s="23"/>
      <c r="M125" s="23"/>
      <c r="N125" s="23"/>
      <c r="O125" s="23"/>
      <c r="P125" s="23"/>
      <c r="Q125" s="23"/>
    </row>
    <row r="126" spans="6:17" ht="0.95" hidden="1" customHeight="1">
      <c r="F126" s="23"/>
      <c r="G126" s="23"/>
      <c r="H126" s="23"/>
      <c r="I126" s="23"/>
      <c r="J126" s="25" t="s">
        <v>124</v>
      </c>
      <c r="K126" s="35" t="str">
        <f>IF(K120&gt;K125,"YES","NO")</f>
        <v>NO</v>
      </c>
      <c r="L126" s="23"/>
      <c r="M126" s="23"/>
      <c r="N126" s="23"/>
      <c r="O126" s="23"/>
      <c r="P126" s="23"/>
      <c r="Q126" s="23"/>
    </row>
    <row r="127" spans="6:17" ht="0.95" hidden="1" customHeight="1">
      <c r="F127" s="23"/>
      <c r="G127" s="23"/>
      <c r="H127" s="23"/>
      <c r="I127" s="23"/>
      <c r="J127" s="23"/>
      <c r="K127" s="23"/>
      <c r="L127" s="23"/>
      <c r="M127" s="23"/>
      <c r="N127" s="23"/>
      <c r="O127" s="23"/>
      <c r="P127" s="23"/>
      <c r="Q127" s="23"/>
    </row>
    <row r="128" spans="6:17" ht="0.95" hidden="1" customHeight="1">
      <c r="F128" s="23"/>
      <c r="G128" s="23"/>
      <c r="H128" s="23"/>
      <c r="I128" s="23"/>
      <c r="J128" s="34" t="s">
        <v>137</v>
      </c>
      <c r="K128" s="34" t="s">
        <v>136</v>
      </c>
      <c r="L128" s="23"/>
      <c r="M128" s="23"/>
      <c r="N128" s="23"/>
      <c r="O128" s="23"/>
      <c r="P128" s="23"/>
      <c r="Q128" s="23"/>
    </row>
    <row r="129" spans="6:17" ht="0.95" hidden="1" customHeight="1">
      <c r="F129" s="23"/>
      <c r="G129" s="23"/>
      <c r="H129" s="23"/>
      <c r="I129" s="23"/>
      <c r="J129" s="33">
        <v>1</v>
      </c>
      <c r="K129" s="32">
        <v>1.3660000000000001</v>
      </c>
      <c r="L129" s="23"/>
      <c r="M129" s="23"/>
      <c r="N129" s="23"/>
      <c r="O129" s="23"/>
      <c r="P129" s="23"/>
      <c r="Q129" s="23"/>
    </row>
    <row r="130" spans="6:17" ht="0.95" hidden="1" customHeight="1">
      <c r="F130" s="23"/>
      <c r="G130" s="23"/>
      <c r="H130" s="26"/>
      <c r="I130" s="23"/>
      <c r="J130" s="33">
        <v>2</v>
      </c>
      <c r="K130" s="32">
        <v>1.355</v>
      </c>
      <c r="L130" s="23"/>
      <c r="M130" s="23"/>
      <c r="N130" s="23"/>
      <c r="O130" s="23"/>
      <c r="P130" s="23"/>
      <c r="Q130" s="23"/>
    </row>
    <row r="131" spans="6:17" ht="12" hidden="1" customHeight="1">
      <c r="F131" s="23"/>
      <c r="G131" s="23"/>
      <c r="H131" s="29"/>
      <c r="I131" s="23"/>
      <c r="J131" s="33">
        <v>3</v>
      </c>
      <c r="K131" s="32">
        <v>1.345</v>
      </c>
      <c r="L131" s="23"/>
      <c r="M131" s="23"/>
      <c r="N131" s="23"/>
      <c r="O131" s="23"/>
      <c r="P131" s="23"/>
      <c r="Q131" s="23"/>
    </row>
    <row r="132" spans="6:17" ht="0.95" hidden="1" customHeight="1">
      <c r="F132" s="23"/>
      <c r="G132" s="23"/>
      <c r="H132" s="29"/>
      <c r="I132" s="23"/>
      <c r="J132" s="33">
        <v>4</v>
      </c>
      <c r="K132" s="32">
        <v>1.345</v>
      </c>
      <c r="L132" s="23"/>
      <c r="M132" s="23"/>
      <c r="N132" s="23"/>
      <c r="O132" s="23"/>
      <c r="P132" s="23"/>
      <c r="Q132" s="23"/>
    </row>
    <row r="133" spans="6:17" ht="14.1" hidden="1" customHeight="1">
      <c r="F133" s="23"/>
      <c r="G133" s="23"/>
      <c r="H133" s="29"/>
      <c r="I133" s="23"/>
      <c r="J133" s="33">
        <v>5</v>
      </c>
      <c r="K133" s="32">
        <v>1.3420000000000001</v>
      </c>
      <c r="L133" s="23"/>
      <c r="M133" s="23"/>
      <c r="N133" s="23"/>
      <c r="O133" s="23"/>
      <c r="P133" s="23"/>
      <c r="Q133" s="23"/>
    </row>
    <row r="134" spans="6:17" ht="0.95" hidden="1" customHeight="1">
      <c r="F134" s="23"/>
      <c r="G134" s="23"/>
      <c r="H134" s="29"/>
      <c r="I134" s="23"/>
      <c r="J134" s="33">
        <v>6</v>
      </c>
      <c r="K134" s="32">
        <v>1.341</v>
      </c>
      <c r="L134" s="23"/>
      <c r="M134" s="23"/>
      <c r="N134" s="23"/>
      <c r="O134" s="23"/>
      <c r="P134" s="23"/>
      <c r="Q134" s="23"/>
    </row>
    <row r="135" spans="6:17" ht="0.95" hidden="1" customHeight="1">
      <c r="F135" s="23"/>
      <c r="G135" s="23"/>
      <c r="H135" s="29"/>
      <c r="I135" s="23"/>
      <c r="J135" s="33">
        <v>7</v>
      </c>
      <c r="K135" s="32">
        <v>1.341</v>
      </c>
      <c r="L135" s="23"/>
      <c r="M135" s="23"/>
      <c r="N135" s="23"/>
      <c r="O135" s="23"/>
      <c r="P135" s="23"/>
      <c r="Q135" s="23"/>
    </row>
    <row r="136" spans="6:17" ht="0.95" hidden="1" customHeight="1">
      <c r="F136" s="23"/>
      <c r="G136" s="23"/>
      <c r="H136" s="29"/>
      <c r="I136" s="23"/>
      <c r="J136" s="33">
        <v>8</v>
      </c>
      <c r="K136" s="32">
        <v>1.34</v>
      </c>
      <c r="L136" s="23"/>
      <c r="M136" s="23"/>
      <c r="N136" s="23"/>
      <c r="O136" s="23"/>
      <c r="P136" s="23"/>
      <c r="Q136" s="23"/>
    </row>
    <row r="137" spans="6:17" ht="0.95" hidden="1" customHeight="1">
      <c r="F137" s="23"/>
      <c r="G137" s="23"/>
      <c r="H137" s="29"/>
      <c r="I137" s="23"/>
      <c r="J137" s="33">
        <v>9</v>
      </c>
      <c r="K137" s="32">
        <v>1.325</v>
      </c>
      <c r="L137" s="23"/>
      <c r="M137" s="23"/>
      <c r="N137" s="23"/>
      <c r="O137" s="23"/>
      <c r="P137" s="23"/>
      <c r="Q137" s="23"/>
    </row>
    <row r="138" spans="6:17" ht="0.95" hidden="1" customHeight="1">
      <c r="F138" s="23"/>
      <c r="G138" s="23"/>
      <c r="H138" s="29"/>
      <c r="I138" s="23"/>
      <c r="J138" s="33">
        <v>10</v>
      </c>
      <c r="K138" s="32">
        <v>1.321</v>
      </c>
      <c r="L138" s="23"/>
      <c r="M138" s="23"/>
      <c r="N138" s="23"/>
      <c r="O138" s="23"/>
      <c r="P138" s="23"/>
      <c r="Q138" s="23"/>
    </row>
    <row r="139" spans="6:17" ht="0.95" hidden="1" customHeight="1">
      <c r="F139" s="23"/>
      <c r="G139" s="23"/>
      <c r="H139" s="29"/>
      <c r="I139" s="23"/>
      <c r="J139" s="33">
        <v>11</v>
      </c>
      <c r="K139" s="32">
        <v>1.3</v>
      </c>
      <c r="L139" s="23"/>
      <c r="M139" s="23"/>
      <c r="N139" s="23"/>
      <c r="O139" s="23"/>
      <c r="P139" s="23"/>
      <c r="Q139" s="23"/>
    </row>
    <row r="140" spans="6:17" ht="0.95" hidden="1" customHeight="1">
      <c r="F140" s="23"/>
      <c r="G140" s="23"/>
      <c r="H140" s="29"/>
      <c r="I140" s="23"/>
      <c r="J140" s="33">
        <v>12</v>
      </c>
      <c r="K140" s="32">
        <v>1.2549999999999999</v>
      </c>
      <c r="L140" s="23"/>
      <c r="M140" s="23"/>
      <c r="N140" s="23"/>
      <c r="O140" s="23"/>
      <c r="P140" s="23"/>
      <c r="Q140" s="23"/>
    </row>
    <row r="141" spans="6:17" ht="0.95" hidden="1" customHeight="1">
      <c r="F141" s="23"/>
      <c r="G141" s="23"/>
      <c r="H141" s="29"/>
      <c r="I141" s="23"/>
      <c r="J141" s="33">
        <v>13</v>
      </c>
      <c r="K141" s="32">
        <v>1.234</v>
      </c>
      <c r="L141" s="23"/>
      <c r="M141" s="23"/>
      <c r="N141" s="23"/>
      <c r="O141" s="23"/>
      <c r="P141" s="23"/>
      <c r="Q141" s="23"/>
    </row>
    <row r="142" spans="6:17" ht="0.95" hidden="1" customHeight="1">
      <c r="F142" s="23"/>
      <c r="G142" s="23"/>
      <c r="H142" s="29"/>
      <c r="I142" s="23"/>
      <c r="J142" s="33">
        <v>14</v>
      </c>
      <c r="K142" s="32">
        <v>1.2</v>
      </c>
      <c r="L142" s="23"/>
      <c r="M142" s="23"/>
      <c r="N142" s="23"/>
      <c r="O142" s="23"/>
      <c r="P142" s="23"/>
      <c r="Q142" s="23"/>
    </row>
    <row r="143" spans="6:17" ht="0.95" hidden="1" customHeight="1">
      <c r="F143" s="23"/>
      <c r="G143" s="23"/>
      <c r="H143" s="29"/>
      <c r="I143" s="23"/>
      <c r="J143" s="31" t="s">
        <v>135</v>
      </c>
      <c r="K143" s="30">
        <v>0.05</v>
      </c>
      <c r="L143" s="23"/>
      <c r="M143" s="23"/>
      <c r="N143" s="23"/>
      <c r="O143" s="23"/>
      <c r="P143" s="23"/>
      <c r="Q143" s="23"/>
    </row>
    <row r="144" spans="6:17" ht="0.95" hidden="1" customHeight="1">
      <c r="F144" s="23"/>
      <c r="G144" s="23"/>
      <c r="H144" s="29"/>
      <c r="I144" s="23"/>
      <c r="J144" s="25" t="s">
        <v>134</v>
      </c>
      <c r="K144" s="28">
        <f>AVERAGE(K129:K142)</f>
        <v>1.3149999999999999</v>
      </c>
      <c r="L144" s="23"/>
      <c r="M144" s="23"/>
      <c r="N144" s="23"/>
      <c r="O144" s="23"/>
      <c r="P144" s="23"/>
      <c r="Q144" s="23"/>
    </row>
    <row r="145" spans="6:17" ht="0.95" hidden="1" customHeight="1">
      <c r="F145" s="23"/>
      <c r="G145" s="23"/>
      <c r="H145" s="26"/>
      <c r="I145" s="23"/>
      <c r="J145" s="25" t="s">
        <v>25</v>
      </c>
      <c r="K145" s="24">
        <f>_xlfn.STDEV.S(K129:K142)</f>
        <v>4.9964602855036691E-2</v>
      </c>
      <c r="L145" s="23"/>
      <c r="M145" s="23"/>
      <c r="N145" s="23"/>
      <c r="O145" s="23"/>
      <c r="P145" s="23"/>
      <c r="Q145" s="23"/>
    </row>
    <row r="146" spans="6:17" ht="2.1" hidden="1" customHeight="1">
      <c r="F146" s="23"/>
      <c r="G146" s="23"/>
      <c r="H146" s="26"/>
      <c r="I146" s="23"/>
      <c r="J146" s="25" t="s">
        <v>133</v>
      </c>
      <c r="K146" s="28">
        <f>MIN(K129:K142)</f>
        <v>1.2</v>
      </c>
      <c r="L146" s="23"/>
      <c r="M146" s="23"/>
      <c r="N146" s="23"/>
      <c r="O146" s="23"/>
      <c r="P146" s="23"/>
      <c r="Q146" s="23"/>
    </row>
    <row r="147" spans="6:17" ht="0.95" hidden="1" customHeight="1">
      <c r="F147" s="23"/>
      <c r="G147" s="23"/>
      <c r="H147" s="26"/>
      <c r="I147" s="23"/>
      <c r="J147" s="25" t="s">
        <v>132</v>
      </c>
      <c r="K147" s="28">
        <f>MAX(K129:K142)</f>
        <v>1.3660000000000001</v>
      </c>
      <c r="L147" s="23"/>
      <c r="M147" s="23"/>
      <c r="N147" s="23"/>
      <c r="O147" s="23"/>
      <c r="P147" s="23"/>
      <c r="Q147" s="23"/>
    </row>
    <row r="148" spans="6:17" ht="0.95" hidden="1" customHeight="1">
      <c r="F148" s="23"/>
      <c r="G148" s="23"/>
      <c r="H148" s="26"/>
      <c r="I148" s="23"/>
      <c r="J148" s="25" t="s">
        <v>131</v>
      </c>
      <c r="K148" s="27">
        <f>K144-K146</f>
        <v>0.11499999999999999</v>
      </c>
      <c r="L148" s="23"/>
      <c r="M148" s="23"/>
      <c r="N148" s="23"/>
      <c r="O148" s="23"/>
      <c r="P148" s="23"/>
      <c r="Q148" s="23"/>
    </row>
    <row r="149" spans="6:17" ht="0.95" hidden="1" customHeight="1">
      <c r="F149" s="23"/>
      <c r="G149" s="23"/>
      <c r="H149" s="26"/>
      <c r="I149" s="23"/>
      <c r="J149" s="25" t="s">
        <v>130</v>
      </c>
      <c r="K149" s="27">
        <f>K147-K144</f>
        <v>5.1000000000000156E-2</v>
      </c>
      <c r="L149" s="23"/>
      <c r="M149" s="23"/>
      <c r="N149" s="23"/>
      <c r="O149" s="23"/>
      <c r="P149" s="23"/>
      <c r="Q149" s="23"/>
    </row>
    <row r="150" spans="6:17" ht="0.95" hidden="1" customHeight="1">
      <c r="F150" s="23"/>
      <c r="G150" s="23"/>
      <c r="H150" s="26"/>
      <c r="I150" s="23"/>
      <c r="J150" s="25" t="s">
        <v>129</v>
      </c>
      <c r="K150" s="24">
        <f>MAX(K148:K149)/K145</f>
        <v>2.3016294222061928</v>
      </c>
      <c r="L150" s="23"/>
      <c r="M150" s="23"/>
      <c r="N150" s="23"/>
      <c r="O150" s="23"/>
      <c r="P150" s="23"/>
      <c r="Q150" s="23"/>
    </row>
    <row r="151" spans="6:17" ht="0.95" hidden="1" customHeight="1">
      <c r="F151" s="23"/>
      <c r="G151" s="23"/>
      <c r="H151" s="26"/>
      <c r="I151" s="23"/>
      <c r="J151" s="25" t="s">
        <v>128</v>
      </c>
      <c r="K151" s="24">
        <f>COUNT(F124:F139)</f>
        <v>0</v>
      </c>
      <c r="L151" s="23"/>
      <c r="M151" s="23"/>
      <c r="N151" s="23"/>
      <c r="O151" s="23"/>
      <c r="P151" s="23"/>
      <c r="Q151" s="23"/>
    </row>
    <row r="152" spans="6:17" ht="0.95" hidden="1" customHeight="1">
      <c r="F152" s="23"/>
      <c r="G152" s="23"/>
      <c r="H152" s="26"/>
      <c r="I152" s="23"/>
      <c r="J152" s="25" t="s">
        <v>124</v>
      </c>
      <c r="K152" s="24" t="e">
        <f>K143/K151</f>
        <v>#DIV/0!</v>
      </c>
      <c r="L152" s="23"/>
      <c r="M152" s="23"/>
      <c r="N152" s="23"/>
      <c r="O152" s="23"/>
      <c r="P152" s="23"/>
      <c r="Q152" s="23"/>
    </row>
    <row r="153" spans="6:17" ht="0.95" hidden="1" customHeight="1">
      <c r="F153" s="23"/>
      <c r="G153" s="23"/>
      <c r="H153" s="26"/>
      <c r="I153" s="23"/>
      <c r="J153" s="25" t="s">
        <v>127</v>
      </c>
      <c r="K153" s="24">
        <f>K151-2</f>
        <v>-2</v>
      </c>
      <c r="L153" s="23"/>
      <c r="M153" s="23"/>
      <c r="N153" s="23"/>
      <c r="O153" s="23"/>
      <c r="P153" s="23"/>
      <c r="Q153" s="23"/>
    </row>
    <row r="154" spans="6:17" ht="0.95" hidden="1" customHeight="1">
      <c r="F154" s="23"/>
      <c r="G154" s="23"/>
      <c r="H154" s="26"/>
      <c r="I154" s="23"/>
      <c r="J154" s="25" t="s">
        <v>126</v>
      </c>
      <c r="K154" s="24" t="e">
        <f>TINV(K152,K153)</f>
        <v>#DIV/0!</v>
      </c>
      <c r="L154" s="23"/>
      <c r="M154" s="23"/>
      <c r="N154" s="23"/>
      <c r="O154" s="23"/>
      <c r="P154" s="23"/>
      <c r="Q154" s="23"/>
    </row>
    <row r="155" spans="6:17" ht="0.95" hidden="1" customHeight="1">
      <c r="F155" s="23"/>
      <c r="G155" s="23"/>
      <c r="H155" s="26"/>
      <c r="I155" s="23"/>
      <c r="J155" s="25" t="s">
        <v>125</v>
      </c>
      <c r="K155" s="24" t="e">
        <f>(K151-1)*K154/SQRT(K151*(K153+K154^2))</f>
        <v>#DIV/0!</v>
      </c>
      <c r="L155" s="23"/>
      <c r="M155" s="23"/>
      <c r="N155" s="23"/>
      <c r="O155" s="23"/>
      <c r="P155" s="23"/>
      <c r="Q155" s="23"/>
    </row>
    <row r="156" spans="6:17" ht="0.95" hidden="1" customHeight="1">
      <c r="F156" s="23"/>
      <c r="G156" s="23"/>
      <c r="H156" s="26"/>
      <c r="I156" s="23"/>
      <c r="J156" s="25" t="s">
        <v>124</v>
      </c>
      <c r="K156" s="24" t="e">
        <f>IF(K150&gt;K155,"YES","NO")</f>
        <v>#DIV/0!</v>
      </c>
      <c r="L156" s="23"/>
      <c r="M156" s="23"/>
      <c r="N156" s="23"/>
      <c r="O156" s="23"/>
      <c r="P156" s="23"/>
      <c r="Q156" s="23"/>
    </row>
    <row r="157" spans="6:17" ht="3" hidden="1" customHeight="1">
      <c r="F157" s="23"/>
      <c r="G157" s="23"/>
      <c r="H157" s="23"/>
      <c r="I157" s="23"/>
      <c r="J157" s="23"/>
      <c r="K157" s="23"/>
      <c r="L157" s="23"/>
      <c r="M157" s="23"/>
      <c r="N157" s="23"/>
      <c r="O157" s="23"/>
      <c r="P157" s="23"/>
      <c r="Q157" s="23"/>
    </row>
    <row r="158" spans="6:17" ht="0.95" hidden="1" customHeight="1">
      <c r="F158" s="23"/>
      <c r="G158" s="23"/>
      <c r="H158" s="23"/>
      <c r="I158" s="23"/>
      <c r="J158" s="23"/>
      <c r="K158" s="23"/>
      <c r="L158" s="23"/>
      <c r="M158" s="23"/>
      <c r="N158" s="23"/>
      <c r="O158" s="23"/>
      <c r="P158" s="23"/>
      <c r="Q158" s="23"/>
    </row>
    <row r="159" spans="6:17" ht="20.100000000000001" customHeight="1">
      <c r="F159" s="23"/>
      <c r="G159" s="23"/>
      <c r="H159" s="23"/>
      <c r="I159" s="23"/>
      <c r="J159" s="23"/>
      <c r="K159" s="23"/>
      <c r="L159" s="23"/>
      <c r="M159" s="23"/>
      <c r="N159" s="23"/>
      <c r="O159" s="23"/>
      <c r="P159" s="23"/>
      <c r="Q159" s="23"/>
    </row>
    <row r="160" spans="6:17">
      <c r="F160" s="23"/>
      <c r="G160" s="23"/>
      <c r="H160" s="23"/>
      <c r="I160" s="23"/>
      <c r="J160" s="23"/>
      <c r="K160" s="23"/>
      <c r="L160" s="23"/>
      <c r="M160" s="23"/>
      <c r="N160" s="23"/>
      <c r="O160" s="23"/>
      <c r="P160" s="23"/>
      <c r="Q160" s="23"/>
    </row>
    <row r="161" spans="6:17">
      <c r="F161" s="23"/>
      <c r="G161" s="23"/>
      <c r="H161" s="23"/>
      <c r="I161" s="23"/>
      <c r="J161" s="23"/>
      <c r="K161" s="23"/>
      <c r="L161" s="23"/>
      <c r="M161" s="23"/>
      <c r="N161" s="23"/>
      <c r="O161" s="23"/>
      <c r="P161" s="23"/>
      <c r="Q161" s="23"/>
    </row>
    <row r="162" spans="6:17">
      <c r="F162" s="23"/>
      <c r="G162" s="23"/>
      <c r="H162" s="23"/>
      <c r="I162" s="23"/>
      <c r="J162" s="23"/>
      <c r="K162" s="23"/>
      <c r="L162" s="23"/>
      <c r="M162" s="23"/>
      <c r="N162" s="23"/>
      <c r="O162" s="23"/>
      <c r="P162" s="23"/>
      <c r="Q162" s="23"/>
    </row>
    <row r="163" spans="6:17">
      <c r="F163" s="23"/>
      <c r="G163" s="23"/>
      <c r="H163" s="23"/>
      <c r="I163" s="23"/>
      <c r="J163" s="23"/>
      <c r="K163" s="23"/>
      <c r="L163" s="23"/>
      <c r="M163" s="23"/>
      <c r="N163" s="23"/>
      <c r="O163" s="23"/>
      <c r="P163" s="23"/>
      <c r="Q163" s="23"/>
    </row>
    <row r="164" spans="6:17">
      <c r="F164" s="23"/>
      <c r="G164" s="23"/>
      <c r="H164" s="23"/>
      <c r="I164" s="23"/>
      <c r="J164" s="23"/>
      <c r="K164" s="23"/>
      <c r="L164" s="23"/>
      <c r="M164" s="23"/>
      <c r="N164" s="23"/>
      <c r="O164" s="23"/>
      <c r="P164" s="23"/>
      <c r="Q164" s="23"/>
    </row>
    <row r="165" spans="6:17">
      <c r="F165" s="23"/>
      <c r="G165" s="23"/>
      <c r="H165" s="23"/>
      <c r="I165" s="23"/>
      <c r="J165" s="23"/>
      <c r="K165" s="23"/>
      <c r="L165" s="23"/>
      <c r="M165" s="23"/>
      <c r="N165" s="23"/>
      <c r="O165" s="23"/>
      <c r="P165" s="23"/>
      <c r="Q165" s="23"/>
    </row>
    <row r="166" spans="6:17">
      <c r="F166" s="23"/>
      <c r="G166" s="23"/>
      <c r="H166" s="23"/>
      <c r="I166" s="23"/>
      <c r="J166" s="23"/>
      <c r="K166" s="23"/>
      <c r="L166" s="23"/>
      <c r="M166" s="23"/>
      <c r="N166" s="23"/>
      <c r="O166" s="23"/>
      <c r="P166" s="23"/>
      <c r="Q166" s="23"/>
    </row>
    <row r="167" spans="6:17">
      <c r="F167" s="23"/>
      <c r="G167" s="23"/>
      <c r="H167" s="23"/>
      <c r="I167" s="23"/>
      <c r="J167" s="23"/>
      <c r="K167" s="23"/>
      <c r="L167" s="23"/>
      <c r="M167" s="23"/>
      <c r="N167" s="23"/>
      <c r="O167" s="23"/>
      <c r="P167" s="23"/>
      <c r="Q167" s="23"/>
    </row>
    <row r="168" spans="6:17">
      <c r="F168" s="23"/>
      <c r="G168" s="23"/>
      <c r="H168" s="23"/>
      <c r="I168" s="23"/>
      <c r="J168" s="23"/>
      <c r="K168" s="23"/>
      <c r="L168" s="23"/>
      <c r="M168" s="23"/>
      <c r="N168" s="23"/>
      <c r="O168" s="23"/>
      <c r="P168" s="23"/>
      <c r="Q168" s="23"/>
    </row>
    <row r="169" spans="6:17">
      <c r="F169" s="23"/>
      <c r="G169" s="23"/>
      <c r="H169" s="23"/>
      <c r="I169" s="23"/>
      <c r="J169" s="23"/>
      <c r="K169" s="23"/>
      <c r="L169" s="23"/>
      <c r="M169" s="23"/>
      <c r="N169" s="23"/>
      <c r="O169" s="23"/>
      <c r="P169" s="23"/>
      <c r="Q169" s="23"/>
    </row>
  </sheetData>
  <sheetProtection algorithmName="SHA-512" hashValue="SLyHISxu/Sx7pmIxJv3oh8mXgrX1Suz1f0fill3sJMz6BoagN1Q4aDPOR6H9yFI1t8ZD8RUdJIXWimqdnlDFcw==" saltValue="45uHGmLP3SgrF2KJWI4CUQ==" spinCount="100000" sheet="1" selectLockedCells="1"/>
  <mergeCells count="28">
    <mergeCell ref="H3:H21"/>
    <mergeCell ref="S2:T2"/>
    <mergeCell ref="R3:R25"/>
    <mergeCell ref="S4:U4"/>
    <mergeCell ref="N2:P2"/>
    <mergeCell ref="I2:J2"/>
    <mergeCell ref="H24:H56"/>
    <mergeCell ref="I38:J38"/>
    <mergeCell ref="I39:J40"/>
    <mergeCell ref="I54:J54"/>
    <mergeCell ref="N31:O31"/>
    <mergeCell ref="N32:O32"/>
    <mergeCell ref="A1:A35"/>
    <mergeCell ref="N25:O25"/>
    <mergeCell ref="E2:F3"/>
    <mergeCell ref="M3:M36"/>
    <mergeCell ref="I32:J32"/>
    <mergeCell ref="N34:O34"/>
    <mergeCell ref="N36:O36"/>
    <mergeCell ref="B26:F29"/>
    <mergeCell ref="N26:P26"/>
    <mergeCell ref="N28:P28"/>
    <mergeCell ref="B2:C17"/>
    <mergeCell ref="B18:C24"/>
    <mergeCell ref="N33:P33"/>
    <mergeCell ref="N27:O27"/>
    <mergeCell ref="N29:O29"/>
    <mergeCell ref="N30:O30"/>
  </mergeCells>
  <conditionalFormatting sqref="J41 J43">
    <cfRule type="expression" dxfId="2" priority="2">
      <formula>#REF!=1</formula>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iconSet" priority="3" id="{43EF7418-7099-4972-A1FC-0238C923FBBA}">
            <x14:iconSet custom="1">
              <x14:cfvo type="percent">
                <xm:f>0</xm:f>
              </x14:cfvo>
              <x14:cfvo type="formula" gte="0">
                <xm:f>2</xm:f>
              </x14:cfvo>
              <x14:cfvo type="formula">
                <xm:f>17</xm:f>
              </x14:cfvo>
              <x14:cfIcon iconSet="4RedToBlack" iconId="3"/>
              <x14:cfIcon iconSet="NoIcons" iconId="0"/>
              <x14:cfIcon iconSet="NoIcons" iconId="0"/>
            </x14:iconSet>
          </x14:cfRule>
          <xm:sqref>K3:K19</xm:sqref>
        </x14:conditionalFormatting>
        <x14:conditionalFormatting xmlns:xm="http://schemas.microsoft.com/office/excel/2006/main">
          <x14:cfRule type="iconSet" priority="1" id="{6F4DBAC6-C7E0-458F-A228-AA90387087DF}">
            <x14:iconSet custom="1">
              <x14:cfvo type="percent">
                <xm:f>0</xm:f>
              </x14:cfvo>
              <x14:cfvo type="formula" gte="0">
                <xm:f>2</xm:f>
              </x14:cfvo>
              <x14:cfvo type="formula">
                <xm:f>17</xm:f>
              </x14:cfvo>
              <x14:cfIcon iconSet="4RedToBlack" iconId="3"/>
              <x14:cfIcon iconSet="NoIcons" iconId="0"/>
              <x14:cfIcon iconSet="NoIcons" iconId="0"/>
            </x14:iconSet>
          </x14:cfRule>
          <xm:sqref>K42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A5E2D-DD28-4B8F-8DFB-BA6FC9CC0440}">
  <dimension ref="A1:V169"/>
  <sheetViews>
    <sheetView topLeftCell="O1" zoomScale="90" zoomScaleNormal="90" workbookViewId="0">
      <selection activeCell="F5" sqref="F5"/>
    </sheetView>
  </sheetViews>
  <sheetFormatPr defaultColWidth="12" defaultRowHeight="15.75"/>
  <cols>
    <col min="1" max="2" width="12" style="22"/>
    <col min="3" max="3" width="65.85546875" style="22" customWidth="1"/>
    <col min="4" max="4" width="1.5703125" style="22" customWidth="1"/>
    <col min="5" max="5" width="13.140625" style="22" customWidth="1"/>
    <col min="6" max="6" width="16.7109375" style="22" customWidth="1"/>
    <col min="7" max="7" width="3.28515625" style="22" customWidth="1"/>
    <col min="8" max="8" width="78.5703125" style="22" customWidth="1"/>
    <col min="9" max="9" width="40.42578125" style="22" customWidth="1"/>
    <col min="10" max="10" width="21.85546875" style="22" customWidth="1"/>
    <col min="11" max="11" width="9.5703125" style="22" customWidth="1"/>
    <col min="12" max="12" width="0.42578125" style="22" hidden="1" customWidth="1"/>
    <col min="13" max="13" width="53.42578125" style="22" customWidth="1"/>
    <col min="14" max="14" width="12.140625" style="22" customWidth="1"/>
    <col min="15" max="15" width="42" style="22" customWidth="1"/>
    <col min="16" max="16" width="28.42578125" style="22" customWidth="1"/>
    <col min="17" max="17" width="4.140625" style="22" customWidth="1"/>
    <col min="18" max="18" width="36.5703125" style="22" customWidth="1"/>
    <col min="19" max="19" width="21.42578125" style="22" customWidth="1"/>
    <col min="20" max="20" width="23.85546875" style="22" customWidth="1"/>
    <col min="21" max="21" width="24.5703125" style="22" customWidth="1"/>
    <col min="22" max="16384" width="12" style="22"/>
  </cols>
  <sheetData>
    <row r="1" spans="1:21" ht="21.95" customHeight="1" thickBot="1">
      <c r="A1" s="231" t="s">
        <v>216</v>
      </c>
      <c r="B1" s="189"/>
      <c r="C1" s="189"/>
      <c r="E1" s="122"/>
      <c r="F1" s="122"/>
      <c r="M1" s="122"/>
      <c r="N1" s="122"/>
      <c r="O1" s="122"/>
      <c r="P1" s="122"/>
    </row>
    <row r="2" spans="1:21" ht="21.95" customHeight="1" thickTop="1" thickBot="1">
      <c r="A2" s="231"/>
      <c r="B2" s="242" t="s">
        <v>215</v>
      </c>
      <c r="C2" s="242"/>
      <c r="E2" s="234" t="s">
        <v>214</v>
      </c>
      <c r="F2" s="235"/>
      <c r="G2" s="135"/>
      <c r="H2" s="188" t="s">
        <v>213</v>
      </c>
      <c r="I2" s="229" t="s">
        <v>212</v>
      </c>
      <c r="J2" s="230"/>
      <c r="K2" s="187"/>
      <c r="L2" s="135"/>
      <c r="M2" s="186" t="s">
        <v>211</v>
      </c>
      <c r="N2" s="226" t="s">
        <v>210</v>
      </c>
      <c r="O2" s="227"/>
      <c r="P2" s="228"/>
      <c r="R2" s="185" t="s">
        <v>209</v>
      </c>
      <c r="S2" s="219" t="s">
        <v>208</v>
      </c>
      <c r="T2" s="220"/>
      <c r="U2" s="184">
        <f>IF(P34=0,"",P34)</f>
        <v>69.91</v>
      </c>
    </row>
    <row r="3" spans="1:21" ht="21.95" customHeight="1" thickTop="1" thickBot="1">
      <c r="A3" s="231"/>
      <c r="B3" s="242"/>
      <c r="C3" s="242"/>
      <c r="D3" s="135"/>
      <c r="E3" s="236"/>
      <c r="F3" s="237"/>
      <c r="H3" s="245" t="s">
        <v>207</v>
      </c>
      <c r="I3" s="183" t="s">
        <v>206</v>
      </c>
      <c r="J3" s="182" t="s">
        <v>205</v>
      </c>
      <c r="K3" s="181"/>
      <c r="L3" s="180"/>
      <c r="M3" s="238" t="s">
        <v>204</v>
      </c>
      <c r="N3" s="179" t="s">
        <v>203</v>
      </c>
      <c r="O3" s="171" t="s">
        <v>53</v>
      </c>
      <c r="P3" s="178" t="s">
        <v>202</v>
      </c>
      <c r="R3" s="221" t="s">
        <v>201</v>
      </c>
      <c r="S3" s="121"/>
      <c r="T3" s="121"/>
      <c r="U3" s="65"/>
    </row>
    <row r="4" spans="1:21" ht="21.95" customHeight="1" thickTop="1">
      <c r="A4" s="231"/>
      <c r="B4" s="242"/>
      <c r="C4" s="242"/>
      <c r="D4" s="135"/>
      <c r="E4" s="177" t="s">
        <v>200</v>
      </c>
      <c r="F4" s="176" t="s">
        <v>53</v>
      </c>
      <c r="H4" s="245"/>
      <c r="I4" s="157">
        <v>1</v>
      </c>
      <c r="J4" s="150">
        <v>2.06</v>
      </c>
      <c r="K4" s="84">
        <f t="shared" ref="K4:K19" si="0" xml:space="preserve"> IFERROR(_xlfn.RANK.EQ(L4, $L$4:$L$19),"")</f>
        <v>15</v>
      </c>
      <c r="L4" s="173">
        <f t="shared" ref="L4:L19" si="1">ABS($J$45-J4)</f>
        <v>5.250000000000199E-3</v>
      </c>
      <c r="M4" s="238"/>
      <c r="N4" s="175">
        <v>1</v>
      </c>
      <c r="O4" s="120" t="str">
        <f t="shared" ref="O4:O23" si="2">IF(F5=0,"",F5)</f>
        <v>B1</v>
      </c>
      <c r="P4" s="136">
        <v>58.57</v>
      </c>
      <c r="R4" s="221"/>
      <c r="S4" s="223" t="s">
        <v>199</v>
      </c>
      <c r="T4" s="224"/>
      <c r="U4" s="225"/>
    </row>
    <row r="5" spans="1:21" ht="21.95" customHeight="1">
      <c r="A5" s="231"/>
      <c r="B5" s="242"/>
      <c r="C5" s="242"/>
      <c r="D5" s="135"/>
      <c r="E5" s="174">
        <v>1</v>
      </c>
      <c r="F5" s="133" t="s">
        <v>11</v>
      </c>
      <c r="H5" s="245"/>
      <c r="I5" s="156">
        <v>2</v>
      </c>
      <c r="J5" s="155">
        <v>2.1040000000000001</v>
      </c>
      <c r="K5" s="84">
        <f t="shared" si="0"/>
        <v>10</v>
      </c>
      <c r="L5" s="173">
        <f t="shared" si="1"/>
        <v>4.9250000000000238E-2</v>
      </c>
      <c r="M5" s="238"/>
      <c r="N5" s="144">
        <v>2</v>
      </c>
      <c r="O5" s="127" t="str">
        <f t="shared" si="2"/>
        <v>B2</v>
      </c>
      <c r="P5" s="128">
        <v>66.36</v>
      </c>
      <c r="R5" s="221"/>
      <c r="S5" s="172" t="s">
        <v>198</v>
      </c>
      <c r="T5" s="171" t="s">
        <v>197</v>
      </c>
      <c r="U5" s="170" t="s">
        <v>196</v>
      </c>
    </row>
    <row r="6" spans="1:21" ht="21.95" customHeight="1">
      <c r="A6" s="231"/>
      <c r="B6" s="242"/>
      <c r="C6" s="242"/>
      <c r="D6" s="135"/>
      <c r="E6" s="169">
        <v>2</v>
      </c>
      <c r="F6" s="139" t="s">
        <v>14</v>
      </c>
      <c r="H6" s="245"/>
      <c r="I6" s="157">
        <v>3</v>
      </c>
      <c r="J6" s="150">
        <v>2.0470000000000002</v>
      </c>
      <c r="K6" s="84">
        <f t="shared" si="0"/>
        <v>14</v>
      </c>
      <c r="L6" s="71">
        <f t="shared" si="1"/>
        <v>7.7499999999997016E-3</v>
      </c>
      <c r="M6" s="238"/>
      <c r="N6" s="137">
        <v>3</v>
      </c>
      <c r="O6" s="120" t="str">
        <f t="shared" si="2"/>
        <v>B3</v>
      </c>
      <c r="P6" s="136">
        <v>74.150000000000006</v>
      </c>
      <c r="R6" s="221"/>
      <c r="S6" s="143" t="str">
        <f t="shared" ref="S6:S25" si="3">IF(F5=0,"",F5)</f>
        <v>B1</v>
      </c>
      <c r="T6" s="159">
        <f t="shared" ref="T6:T25" si="4">IF(P4=0,"",P4)</f>
        <v>58.57</v>
      </c>
      <c r="U6" s="118">
        <f t="shared" ref="U6:U25" si="5">IFERROR(($U$2*2500)/T6,"")</f>
        <v>2984.0361960047808</v>
      </c>
    </row>
    <row r="7" spans="1:21" ht="21.95" customHeight="1">
      <c r="A7" s="231"/>
      <c r="B7" s="242"/>
      <c r="C7" s="242"/>
      <c r="D7" s="135"/>
      <c r="E7" s="168">
        <v>3</v>
      </c>
      <c r="F7" s="167" t="s">
        <v>19</v>
      </c>
      <c r="H7" s="245"/>
      <c r="I7" s="156">
        <v>4</v>
      </c>
      <c r="J7" s="155">
        <v>2.093</v>
      </c>
      <c r="K7" s="84">
        <f t="shared" si="0"/>
        <v>11</v>
      </c>
      <c r="L7" s="71">
        <f t="shared" si="1"/>
        <v>3.8250000000000117E-2</v>
      </c>
      <c r="M7" s="238"/>
      <c r="N7" s="144">
        <v>4</v>
      </c>
      <c r="O7" s="127" t="str">
        <f t="shared" si="2"/>
        <v>B4</v>
      </c>
      <c r="P7" s="128">
        <v>80.22</v>
      </c>
      <c r="R7" s="221"/>
      <c r="S7" s="144" t="str">
        <f t="shared" si="3"/>
        <v>B2</v>
      </c>
      <c r="T7" s="161">
        <f t="shared" si="4"/>
        <v>66.36</v>
      </c>
      <c r="U7" s="126">
        <f t="shared" si="5"/>
        <v>2633.7402049427365</v>
      </c>
    </row>
    <row r="8" spans="1:21" ht="21.95" customHeight="1">
      <c r="A8" s="231"/>
      <c r="B8" s="242"/>
      <c r="C8" s="242"/>
      <c r="D8" s="135"/>
      <c r="E8" s="149">
        <v>4</v>
      </c>
      <c r="F8" s="139" t="s">
        <v>21</v>
      </c>
      <c r="H8" s="245"/>
      <c r="I8" s="157">
        <v>5</v>
      </c>
      <c r="J8" s="150">
        <v>2.0499999999999998</v>
      </c>
      <c r="K8" s="84">
        <f t="shared" si="0"/>
        <v>16</v>
      </c>
      <c r="L8" s="71">
        <f t="shared" si="1"/>
        <v>4.750000000000032E-3</v>
      </c>
      <c r="M8" s="238"/>
      <c r="N8" s="143">
        <v>5</v>
      </c>
      <c r="O8" s="120" t="str">
        <f t="shared" si="2"/>
        <v>B5</v>
      </c>
      <c r="P8" s="136">
        <v>72.11</v>
      </c>
      <c r="R8" s="221"/>
      <c r="S8" s="143" t="str">
        <f t="shared" si="3"/>
        <v>B3</v>
      </c>
      <c r="T8" s="159">
        <f t="shared" si="4"/>
        <v>74.150000000000006</v>
      </c>
      <c r="U8" s="118">
        <f t="shared" si="5"/>
        <v>2357.0465273095074</v>
      </c>
    </row>
    <row r="9" spans="1:21" ht="21.95" customHeight="1">
      <c r="A9" s="231"/>
      <c r="B9" s="242"/>
      <c r="C9" s="242"/>
      <c r="D9" s="135"/>
      <c r="E9" s="168">
        <v>5</v>
      </c>
      <c r="F9" s="167" t="s">
        <v>23</v>
      </c>
      <c r="H9" s="245"/>
      <c r="I9" s="156">
        <v>6</v>
      </c>
      <c r="J9" s="155">
        <v>1.9630000000000001</v>
      </c>
      <c r="K9" s="84">
        <f t="shared" si="0"/>
        <v>9</v>
      </c>
      <c r="L9" s="71">
        <f t="shared" si="1"/>
        <v>9.1749999999999776E-2</v>
      </c>
      <c r="M9" s="238"/>
      <c r="N9" s="154">
        <v>6</v>
      </c>
      <c r="O9" s="127" t="str">
        <f t="shared" si="2"/>
        <v>B6</v>
      </c>
      <c r="P9" s="128">
        <v>58.27</v>
      </c>
      <c r="R9" s="221"/>
      <c r="S9" s="127" t="str">
        <f t="shared" si="3"/>
        <v>B4</v>
      </c>
      <c r="T9" s="161">
        <f t="shared" si="4"/>
        <v>80.22</v>
      </c>
      <c r="U9" s="126">
        <f t="shared" si="5"/>
        <v>2178.6960857641488</v>
      </c>
    </row>
    <row r="10" spans="1:21" ht="21.95" customHeight="1">
      <c r="A10" s="231"/>
      <c r="B10" s="242"/>
      <c r="C10" s="242"/>
      <c r="D10" s="135"/>
      <c r="E10" s="149">
        <v>6</v>
      </c>
      <c r="F10" s="139" t="s">
        <v>26</v>
      </c>
      <c r="H10" s="245"/>
      <c r="I10" s="157">
        <v>7</v>
      </c>
      <c r="J10" s="150">
        <v>2.0339999999999998</v>
      </c>
      <c r="K10" s="84">
        <f t="shared" si="0"/>
        <v>13</v>
      </c>
      <c r="L10" s="71">
        <f t="shared" si="1"/>
        <v>2.0750000000000046E-2</v>
      </c>
      <c r="M10" s="238"/>
      <c r="N10" s="143">
        <v>7</v>
      </c>
      <c r="O10" s="120" t="str">
        <f t="shared" si="2"/>
        <v>B7</v>
      </c>
      <c r="P10" s="136">
        <v>54.95</v>
      </c>
      <c r="R10" s="221"/>
      <c r="S10" s="120" t="str">
        <f t="shared" si="3"/>
        <v>B5</v>
      </c>
      <c r="T10" s="159">
        <f t="shared" si="4"/>
        <v>72.11</v>
      </c>
      <c r="U10" s="118">
        <f t="shared" si="5"/>
        <v>2423.7276383303288</v>
      </c>
    </row>
    <row r="11" spans="1:21" ht="21.95" customHeight="1" thickBot="1">
      <c r="A11" s="231"/>
      <c r="B11" s="242"/>
      <c r="C11" s="242"/>
      <c r="D11" s="135"/>
      <c r="E11" s="168">
        <v>7</v>
      </c>
      <c r="F11" s="167" t="s">
        <v>28</v>
      </c>
      <c r="H11" s="245"/>
      <c r="I11" s="166">
        <v>8</v>
      </c>
      <c r="J11" s="165">
        <v>2.0870000000000002</v>
      </c>
      <c r="K11" s="84">
        <f t="shared" si="0"/>
        <v>12</v>
      </c>
      <c r="L11" s="71">
        <f t="shared" si="1"/>
        <v>3.2250000000000334E-2</v>
      </c>
      <c r="M11" s="238"/>
      <c r="N11" s="144">
        <v>8</v>
      </c>
      <c r="O11" s="127" t="str">
        <f t="shared" si="2"/>
        <v>B8</v>
      </c>
      <c r="P11" s="128">
        <v>56.72</v>
      </c>
      <c r="R11" s="221"/>
      <c r="S11" s="144" t="str">
        <f t="shared" si="3"/>
        <v>B6</v>
      </c>
      <c r="T11" s="127">
        <f t="shared" si="4"/>
        <v>58.27</v>
      </c>
      <c r="U11" s="126">
        <f t="shared" si="5"/>
        <v>2999.3993478633943</v>
      </c>
    </row>
    <row r="12" spans="1:21" ht="21.95" customHeight="1" thickTop="1">
      <c r="A12" s="231"/>
      <c r="B12" s="242"/>
      <c r="C12" s="242"/>
      <c r="D12" s="135"/>
      <c r="E12" s="149">
        <v>8</v>
      </c>
      <c r="F12" s="152" t="s">
        <v>30</v>
      </c>
      <c r="H12" s="245"/>
      <c r="I12" s="164">
        <v>9</v>
      </c>
      <c r="J12" s="163"/>
      <c r="K12" s="84">
        <f t="shared" si="0"/>
        <v>1</v>
      </c>
      <c r="L12" s="71">
        <f t="shared" si="1"/>
        <v>2.0547499999999999</v>
      </c>
      <c r="M12" s="238"/>
      <c r="N12" s="137">
        <v>9</v>
      </c>
      <c r="O12" s="120" t="str">
        <f t="shared" si="2"/>
        <v>B9</v>
      </c>
      <c r="P12" s="136">
        <v>73.790000000000006</v>
      </c>
      <c r="R12" s="221"/>
      <c r="S12" s="143" t="str">
        <f t="shared" si="3"/>
        <v>B7</v>
      </c>
      <c r="T12" s="162">
        <f t="shared" si="4"/>
        <v>54.95</v>
      </c>
      <c r="U12" s="118">
        <f t="shared" si="5"/>
        <v>3180.6187443130116</v>
      </c>
    </row>
    <row r="13" spans="1:21" ht="21.95" customHeight="1">
      <c r="A13" s="231"/>
      <c r="B13" s="242"/>
      <c r="C13" s="242"/>
      <c r="D13" s="135"/>
      <c r="E13" s="148">
        <v>9</v>
      </c>
      <c r="F13" s="133" t="s">
        <v>32</v>
      </c>
      <c r="H13" s="245"/>
      <c r="I13" s="156">
        <v>10</v>
      </c>
      <c r="J13" s="155"/>
      <c r="K13" s="84">
        <f t="shared" si="0"/>
        <v>1</v>
      </c>
      <c r="L13" s="71">
        <f t="shared" si="1"/>
        <v>2.0547499999999999</v>
      </c>
      <c r="M13" s="238"/>
      <c r="N13" s="144">
        <v>10</v>
      </c>
      <c r="O13" s="127" t="str">
        <f t="shared" si="2"/>
        <v>B10</v>
      </c>
      <c r="P13" s="128">
        <v>68.430000000000007</v>
      </c>
      <c r="R13" s="221"/>
      <c r="S13" s="127" t="str">
        <f t="shared" si="3"/>
        <v>B8</v>
      </c>
      <c r="T13" s="161">
        <f t="shared" si="4"/>
        <v>56.72</v>
      </c>
      <c r="U13" s="126">
        <f t="shared" si="5"/>
        <v>3081.3645980253877</v>
      </c>
    </row>
    <row r="14" spans="1:21" ht="21.95" customHeight="1">
      <c r="A14" s="231"/>
      <c r="B14" s="242"/>
      <c r="C14" s="242"/>
      <c r="D14" s="135"/>
      <c r="E14" s="153">
        <v>10</v>
      </c>
      <c r="F14" s="160" t="s">
        <v>35</v>
      </c>
      <c r="H14" s="245"/>
      <c r="I14" s="157">
        <v>11</v>
      </c>
      <c r="J14" s="150"/>
      <c r="K14" s="84">
        <f t="shared" si="0"/>
        <v>1</v>
      </c>
      <c r="L14" s="71">
        <f t="shared" si="1"/>
        <v>2.0547499999999999</v>
      </c>
      <c r="M14" s="238"/>
      <c r="N14" s="137">
        <v>11</v>
      </c>
      <c r="O14" s="120" t="str">
        <f t="shared" si="2"/>
        <v>B11</v>
      </c>
      <c r="P14" s="136">
        <v>72.62</v>
      </c>
      <c r="R14" s="221"/>
      <c r="S14" s="143" t="str">
        <f t="shared" si="3"/>
        <v>B9</v>
      </c>
      <c r="T14" s="159">
        <f t="shared" si="4"/>
        <v>73.790000000000006</v>
      </c>
      <c r="U14" s="118">
        <f t="shared" si="5"/>
        <v>2368.5458734245831</v>
      </c>
    </row>
    <row r="15" spans="1:21" ht="21.95" customHeight="1">
      <c r="A15" s="231"/>
      <c r="B15" s="242"/>
      <c r="C15" s="242"/>
      <c r="D15" s="135"/>
      <c r="E15" s="148">
        <v>11</v>
      </c>
      <c r="F15" s="147" t="s">
        <v>37</v>
      </c>
      <c r="H15" s="245"/>
      <c r="I15" s="156">
        <v>12</v>
      </c>
      <c r="J15" s="155"/>
      <c r="K15" s="84">
        <f t="shared" si="0"/>
        <v>1</v>
      </c>
      <c r="L15" s="71">
        <f t="shared" si="1"/>
        <v>2.0547499999999999</v>
      </c>
      <c r="M15" s="238"/>
      <c r="N15" s="158">
        <v>12</v>
      </c>
      <c r="O15" s="127" t="str">
        <f t="shared" si="2"/>
        <v>B12</v>
      </c>
      <c r="P15" s="128">
        <v>69.52</v>
      </c>
      <c r="R15" s="221"/>
      <c r="S15" s="144" t="str">
        <f t="shared" si="3"/>
        <v>B10</v>
      </c>
      <c r="T15" s="127">
        <f t="shared" si="4"/>
        <v>68.430000000000007</v>
      </c>
      <c r="U15" s="126">
        <f t="shared" si="5"/>
        <v>2554.0698524039162</v>
      </c>
    </row>
    <row r="16" spans="1:21" ht="21.95" customHeight="1">
      <c r="A16" s="231"/>
      <c r="B16" s="242"/>
      <c r="C16" s="242"/>
      <c r="D16" s="135"/>
      <c r="E16" s="153">
        <v>12</v>
      </c>
      <c r="F16" s="152" t="s">
        <v>39</v>
      </c>
      <c r="H16" s="245"/>
      <c r="I16" s="157">
        <v>13</v>
      </c>
      <c r="J16" s="150"/>
      <c r="K16" s="84">
        <f t="shared" si="0"/>
        <v>1</v>
      </c>
      <c r="L16" s="71">
        <f t="shared" si="1"/>
        <v>2.0547499999999999</v>
      </c>
      <c r="M16" s="238"/>
      <c r="N16" s="143">
        <v>13</v>
      </c>
      <c r="O16" s="120" t="str">
        <f t="shared" si="2"/>
        <v>B13</v>
      </c>
      <c r="P16" s="136">
        <v>80.64</v>
      </c>
      <c r="R16" s="221"/>
      <c r="S16" s="120" t="str">
        <f t="shared" si="3"/>
        <v>B11</v>
      </c>
      <c r="T16" s="119">
        <f t="shared" si="4"/>
        <v>72.62</v>
      </c>
      <c r="U16" s="118">
        <f t="shared" si="5"/>
        <v>2406.7061415587991</v>
      </c>
    </row>
    <row r="17" spans="1:22" ht="21.95" customHeight="1">
      <c r="A17" s="231"/>
      <c r="B17" s="242"/>
      <c r="C17" s="242"/>
      <c r="D17" s="135"/>
      <c r="E17" s="148">
        <v>13</v>
      </c>
      <c r="F17" s="147" t="s">
        <v>41</v>
      </c>
      <c r="H17" s="245"/>
      <c r="I17" s="156">
        <v>14</v>
      </c>
      <c r="J17" s="155"/>
      <c r="K17" s="84">
        <f t="shared" si="0"/>
        <v>1</v>
      </c>
      <c r="L17" s="71">
        <f t="shared" si="1"/>
        <v>2.0547499999999999</v>
      </c>
      <c r="M17" s="238"/>
      <c r="N17" s="154">
        <v>14</v>
      </c>
      <c r="O17" s="127" t="str">
        <f t="shared" si="2"/>
        <v>B14</v>
      </c>
      <c r="P17" s="128">
        <v>64.53</v>
      </c>
      <c r="R17" s="221"/>
      <c r="S17" s="127" t="str">
        <f t="shared" si="3"/>
        <v>B12</v>
      </c>
      <c r="T17" s="127">
        <f t="shared" si="4"/>
        <v>69.52</v>
      </c>
      <c r="U17" s="126">
        <f t="shared" si="5"/>
        <v>2514.0247410817033</v>
      </c>
    </row>
    <row r="18" spans="1:22" ht="21.95" customHeight="1">
      <c r="A18" s="231"/>
      <c r="B18" s="243" t="s">
        <v>195</v>
      </c>
      <c r="C18" s="244"/>
      <c r="D18" s="135"/>
      <c r="E18" s="153">
        <v>14</v>
      </c>
      <c r="F18" s="152" t="s">
        <v>43</v>
      </c>
      <c r="H18" s="245"/>
      <c r="I18" s="151">
        <v>15</v>
      </c>
      <c r="J18" s="150"/>
      <c r="K18" s="84">
        <f t="shared" si="0"/>
        <v>1</v>
      </c>
      <c r="L18" s="71">
        <f t="shared" si="1"/>
        <v>2.0547499999999999</v>
      </c>
      <c r="M18" s="238"/>
      <c r="N18" s="149">
        <v>15</v>
      </c>
      <c r="O18" s="120" t="str">
        <f t="shared" si="2"/>
        <v>B15</v>
      </c>
      <c r="P18" s="136">
        <v>57.7</v>
      </c>
      <c r="R18" s="221"/>
      <c r="S18" s="143" t="str">
        <f t="shared" si="3"/>
        <v>B13</v>
      </c>
      <c r="T18" s="119">
        <f t="shared" si="4"/>
        <v>80.64</v>
      </c>
      <c r="U18" s="118">
        <f t="shared" si="5"/>
        <v>2167.3487103174602</v>
      </c>
    </row>
    <row r="19" spans="1:22" ht="21.95" customHeight="1" thickBot="1">
      <c r="A19" s="231"/>
      <c r="B19" s="244"/>
      <c r="C19" s="244"/>
      <c r="D19" s="135"/>
      <c r="E19" s="148">
        <v>15</v>
      </c>
      <c r="F19" s="147" t="s">
        <v>46</v>
      </c>
      <c r="H19" s="245"/>
      <c r="I19" s="146">
        <v>16</v>
      </c>
      <c r="J19" s="145"/>
      <c r="K19" s="84">
        <f t="shared" si="0"/>
        <v>1</v>
      </c>
      <c r="L19" s="71">
        <f t="shared" si="1"/>
        <v>2.0547499999999999</v>
      </c>
      <c r="M19" s="238"/>
      <c r="N19" s="144">
        <v>16</v>
      </c>
      <c r="O19" s="127" t="str">
        <f t="shared" si="2"/>
        <v>B16</v>
      </c>
      <c r="P19" s="128">
        <v>70.25</v>
      </c>
      <c r="R19" s="221"/>
      <c r="S19" s="144" t="str">
        <f t="shared" si="3"/>
        <v>B14</v>
      </c>
      <c r="T19" s="127">
        <f t="shared" si="4"/>
        <v>64.53</v>
      </c>
      <c r="U19" s="126">
        <f t="shared" si="5"/>
        <v>2708.4301875096853</v>
      </c>
    </row>
    <row r="20" spans="1:22" ht="21.95" customHeight="1" thickTop="1" thickBot="1">
      <c r="A20" s="231"/>
      <c r="B20" s="244"/>
      <c r="C20" s="244"/>
      <c r="D20" s="135"/>
      <c r="E20" s="140">
        <v>16</v>
      </c>
      <c r="F20" s="139" t="s">
        <v>48</v>
      </c>
      <c r="H20" s="245"/>
      <c r="I20" s="121"/>
      <c r="J20" s="65"/>
      <c r="M20" s="238"/>
      <c r="N20" s="137">
        <v>17</v>
      </c>
      <c r="O20" s="120" t="str">
        <f t="shared" si="2"/>
        <v>B17</v>
      </c>
      <c r="P20" s="136">
        <v>46.82</v>
      </c>
      <c r="R20" s="221"/>
      <c r="S20" s="143" t="str">
        <f t="shared" si="3"/>
        <v>B15</v>
      </c>
      <c r="T20" s="119">
        <f t="shared" si="4"/>
        <v>57.7</v>
      </c>
      <c r="U20" s="118">
        <f t="shared" si="5"/>
        <v>3029.0294627383014</v>
      </c>
    </row>
    <row r="21" spans="1:22" ht="21.95" customHeight="1" thickTop="1" thickBot="1">
      <c r="A21" s="231"/>
      <c r="B21" s="244"/>
      <c r="C21" s="244"/>
      <c r="D21" s="135"/>
      <c r="E21" s="142">
        <v>17</v>
      </c>
      <c r="F21" s="133" t="s">
        <v>50</v>
      </c>
      <c r="H21" s="245"/>
      <c r="I21" s="107" t="s">
        <v>194</v>
      </c>
      <c r="J21" s="93">
        <f>IFERROR((I59/J23)*100,"---")</f>
        <v>2.1677242042116691</v>
      </c>
      <c r="M21" s="238"/>
      <c r="N21" s="141">
        <v>18</v>
      </c>
      <c r="O21" s="127" t="str">
        <f t="shared" si="2"/>
        <v>B18</v>
      </c>
      <c r="P21" s="128">
        <v>84.47</v>
      </c>
      <c r="R21" s="221"/>
      <c r="S21" s="127" t="str">
        <f t="shared" si="3"/>
        <v>B16</v>
      </c>
      <c r="T21" s="127">
        <f t="shared" si="4"/>
        <v>70.25</v>
      </c>
      <c r="U21" s="126">
        <f t="shared" si="5"/>
        <v>2487.9003558718859</v>
      </c>
    </row>
    <row r="22" spans="1:22" ht="21.95" customHeight="1" thickTop="1" thickBot="1">
      <c r="A22" s="231"/>
      <c r="B22" s="244"/>
      <c r="C22" s="244"/>
      <c r="D22" s="135"/>
      <c r="E22" s="140">
        <v>18</v>
      </c>
      <c r="F22" s="139" t="s">
        <v>52</v>
      </c>
      <c r="H22" s="138"/>
      <c r="K22" s="95"/>
      <c r="M22" s="238"/>
      <c r="N22" s="137">
        <v>19</v>
      </c>
      <c r="O22" s="120" t="str">
        <f t="shared" si="2"/>
        <v>B19</v>
      </c>
      <c r="P22" s="136">
        <v>55.64</v>
      </c>
      <c r="R22" s="221"/>
      <c r="S22" s="120" t="str">
        <f t="shared" si="3"/>
        <v>B17</v>
      </c>
      <c r="T22" s="119">
        <f t="shared" si="4"/>
        <v>46.82</v>
      </c>
      <c r="U22" s="118">
        <f t="shared" si="5"/>
        <v>3732.9132849209741</v>
      </c>
    </row>
    <row r="23" spans="1:22" ht="21.95" customHeight="1" thickTop="1" thickBot="1">
      <c r="A23" s="231"/>
      <c r="B23" s="244"/>
      <c r="C23" s="244"/>
      <c r="D23" s="135"/>
      <c r="E23" s="134">
        <v>19</v>
      </c>
      <c r="F23" s="133" t="s">
        <v>55</v>
      </c>
      <c r="H23" s="132" t="s">
        <v>193</v>
      </c>
      <c r="I23" s="131" t="s">
        <v>192</v>
      </c>
      <c r="J23" s="130">
        <f>IFERROR(AVERAGE(J4:J11),"---")</f>
        <v>2.0547499999999999</v>
      </c>
      <c r="M23" s="238"/>
      <c r="N23" s="129">
        <v>20</v>
      </c>
      <c r="O23" s="114" t="str">
        <f t="shared" si="2"/>
        <v>B20</v>
      </c>
      <c r="P23" s="128">
        <v>51.38</v>
      </c>
      <c r="R23" s="221"/>
      <c r="S23" s="127" t="str">
        <f t="shared" si="3"/>
        <v>B18</v>
      </c>
      <c r="T23" s="127">
        <f t="shared" si="4"/>
        <v>84.47</v>
      </c>
      <c r="U23" s="126">
        <f t="shared" si="5"/>
        <v>2069.0777790931693</v>
      </c>
    </row>
    <row r="24" spans="1:22" ht="21.95" customHeight="1" thickTop="1" thickBot="1">
      <c r="A24" s="231"/>
      <c r="B24" s="244"/>
      <c r="C24" s="244"/>
      <c r="E24" s="125">
        <v>20</v>
      </c>
      <c r="F24" s="124" t="s">
        <v>57</v>
      </c>
      <c r="H24" s="200" t="s">
        <v>191</v>
      </c>
      <c r="I24" s="104" t="s">
        <v>170</v>
      </c>
      <c r="J24" s="123">
        <f>J23</f>
        <v>2.0547499999999999</v>
      </c>
      <c r="M24" s="238"/>
      <c r="O24" s="122"/>
      <c r="P24" s="121"/>
      <c r="Q24" s="95"/>
      <c r="R24" s="221"/>
      <c r="S24" s="120" t="str">
        <f t="shared" si="3"/>
        <v>B19</v>
      </c>
      <c r="T24" s="119">
        <f t="shared" si="4"/>
        <v>55.64</v>
      </c>
      <c r="U24" s="118">
        <f t="shared" si="5"/>
        <v>3141.1754133716749</v>
      </c>
    </row>
    <row r="25" spans="1:22" ht="21.95" customHeight="1" thickTop="1" thickBot="1">
      <c r="A25" s="231"/>
      <c r="B25" s="117"/>
      <c r="C25" s="117"/>
      <c r="E25" s="116"/>
      <c r="H25" s="200"/>
      <c r="I25" s="104" t="s">
        <v>190</v>
      </c>
      <c r="J25" s="115">
        <f>J23</f>
        <v>2.0547499999999999</v>
      </c>
      <c r="M25" s="238"/>
      <c r="N25" s="232" t="s">
        <v>189</v>
      </c>
      <c r="O25" s="233"/>
      <c r="P25" s="93">
        <f>IFERROR((T64/P27)*100,"---")</f>
        <v>15.90723663051331</v>
      </c>
      <c r="R25" s="222"/>
      <c r="S25" s="114" t="str">
        <f t="shared" si="3"/>
        <v>B20</v>
      </c>
      <c r="T25" s="114">
        <f t="shared" si="4"/>
        <v>51.38</v>
      </c>
      <c r="U25" s="113">
        <f t="shared" si="5"/>
        <v>3401.6154145581936</v>
      </c>
      <c r="V25" s="95"/>
    </row>
    <row r="26" spans="1:22" ht="21.95" customHeight="1" thickTop="1" thickBot="1">
      <c r="A26" s="231"/>
      <c r="B26" s="246"/>
      <c r="C26" s="246"/>
      <c r="D26" s="246"/>
      <c r="E26" s="246"/>
      <c r="F26" s="246"/>
      <c r="H26" s="200"/>
      <c r="I26" s="104" t="s">
        <v>188</v>
      </c>
      <c r="J26" s="112">
        <f>J23</f>
        <v>2.0547499999999999</v>
      </c>
      <c r="M26" s="238"/>
      <c r="N26" s="208"/>
      <c r="O26" s="208"/>
      <c r="P26" s="208"/>
      <c r="Q26" s="95"/>
    </row>
    <row r="27" spans="1:22" ht="21.95" customHeight="1" thickTop="1" thickBot="1">
      <c r="A27" s="231"/>
      <c r="B27" s="246"/>
      <c r="C27" s="246"/>
      <c r="D27" s="246"/>
      <c r="E27" s="246"/>
      <c r="F27" s="246"/>
      <c r="H27" s="200"/>
      <c r="I27" s="104" t="s">
        <v>167</v>
      </c>
      <c r="J27" s="111">
        <f>J23</f>
        <v>2.0547499999999999</v>
      </c>
      <c r="M27" s="238"/>
      <c r="N27" s="210" t="s">
        <v>187</v>
      </c>
      <c r="O27" s="211"/>
      <c r="P27" s="110">
        <f>IFERROR(AVERAGE(P4:P23),"---")</f>
        <v>65.856999999999999</v>
      </c>
    </row>
    <row r="28" spans="1:22" ht="21.95" customHeight="1" thickTop="1" thickBot="1">
      <c r="A28" s="231"/>
      <c r="B28" s="246"/>
      <c r="C28" s="246"/>
      <c r="D28" s="246"/>
      <c r="E28" s="246"/>
      <c r="F28" s="246"/>
      <c r="H28" s="200"/>
      <c r="I28" s="102" t="s">
        <v>166</v>
      </c>
      <c r="J28" s="109">
        <f>J23</f>
        <v>2.0547499999999999</v>
      </c>
      <c r="M28" s="238"/>
      <c r="N28" s="208"/>
      <c r="O28" s="208"/>
      <c r="P28" s="208"/>
      <c r="Q28" s="95"/>
    </row>
    <row r="29" spans="1:22" ht="21.95" customHeight="1" thickTop="1" thickBot="1">
      <c r="A29" s="231"/>
      <c r="B29" s="246"/>
      <c r="C29" s="246"/>
      <c r="D29" s="246"/>
      <c r="E29" s="246"/>
      <c r="F29" s="246"/>
      <c r="H29" s="200"/>
      <c r="K29" s="95"/>
      <c r="M29" s="238"/>
      <c r="N29" s="212" t="s">
        <v>186</v>
      </c>
      <c r="O29" s="213"/>
      <c r="P29" s="108">
        <f>IFERROR(T72,"---")</f>
        <v>69.907513079833308</v>
      </c>
    </row>
    <row r="30" spans="1:22" ht="21.95" customHeight="1" thickTop="1" thickBot="1">
      <c r="A30" s="231"/>
      <c r="B30" s="105"/>
      <c r="C30" s="105"/>
      <c r="D30" s="105"/>
      <c r="E30" s="105"/>
      <c r="F30" s="105"/>
      <c r="H30" s="200"/>
      <c r="I30" s="107" t="s">
        <v>185</v>
      </c>
      <c r="J30" s="66">
        <v>2.0550000000000002</v>
      </c>
      <c r="M30" s="238"/>
      <c r="N30" s="214" t="s">
        <v>184</v>
      </c>
      <c r="O30" s="215"/>
      <c r="P30" s="106">
        <f>P29</f>
        <v>69.907513079833308</v>
      </c>
    </row>
    <row r="31" spans="1:22" ht="21.95" customHeight="1" thickTop="1" thickBot="1">
      <c r="A31" s="231"/>
      <c r="B31" s="105"/>
      <c r="C31" s="105"/>
      <c r="D31" s="105"/>
      <c r="E31" s="105"/>
      <c r="F31" s="105"/>
      <c r="H31" s="200"/>
      <c r="J31" s="65"/>
      <c r="M31" s="238"/>
      <c r="N31" s="216" t="s">
        <v>183</v>
      </c>
      <c r="O31" s="217"/>
      <c r="P31" s="103">
        <f>P29</f>
        <v>69.907513079833308</v>
      </c>
    </row>
    <row r="32" spans="1:22" ht="21.95" customHeight="1" thickTop="1" thickBot="1">
      <c r="A32" s="231"/>
      <c r="B32" s="97"/>
      <c r="C32" s="97"/>
      <c r="H32" s="200"/>
      <c r="I32" s="240" t="s">
        <v>182</v>
      </c>
      <c r="J32" s="241"/>
      <c r="M32" s="238"/>
      <c r="N32" s="198" t="s">
        <v>181</v>
      </c>
      <c r="O32" s="199"/>
      <c r="P32" s="101">
        <f>P29</f>
        <v>69.907513079833308</v>
      </c>
    </row>
    <row r="33" spans="1:17" ht="21.95" customHeight="1" thickTop="1" thickBot="1">
      <c r="A33" s="231"/>
      <c r="B33" s="97"/>
      <c r="C33" s="97"/>
      <c r="H33" s="200"/>
      <c r="I33" s="62" t="s">
        <v>163</v>
      </c>
      <c r="J33" s="100">
        <f>IF(J30*25=0,"",J30*25)</f>
        <v>51.375000000000007</v>
      </c>
      <c r="M33" s="238"/>
      <c r="N33" s="209"/>
      <c r="O33" s="209"/>
      <c r="P33" s="209"/>
      <c r="Q33" s="95"/>
    </row>
    <row r="34" spans="1:17" ht="21.95" customHeight="1" thickTop="1" thickBot="1">
      <c r="A34" s="231"/>
      <c r="B34" s="97"/>
      <c r="C34" s="97"/>
      <c r="H34" s="200"/>
      <c r="I34" s="99" t="s">
        <v>162</v>
      </c>
      <c r="J34" s="58">
        <f>IFERROR(J33*10,"")</f>
        <v>513.75000000000011</v>
      </c>
      <c r="M34" s="238"/>
      <c r="N34" s="218" t="s">
        <v>180</v>
      </c>
      <c r="O34" s="218"/>
      <c r="P34" s="98">
        <v>69.91</v>
      </c>
      <c r="Q34" s="91"/>
    </row>
    <row r="35" spans="1:17" ht="21.95" customHeight="1" thickTop="1" thickBot="1">
      <c r="A35" s="231"/>
      <c r="B35" s="97"/>
      <c r="C35" s="97"/>
      <c r="H35" s="200"/>
      <c r="J35" s="65"/>
      <c r="M35" s="238"/>
      <c r="N35" s="96"/>
      <c r="O35" s="96"/>
      <c r="P35" s="96"/>
      <c r="Q35" s="95"/>
    </row>
    <row r="36" spans="1:17" ht="21.95" customHeight="1" thickTop="1" thickBot="1">
      <c r="A36" s="78"/>
      <c r="B36" s="77"/>
      <c r="C36" s="77"/>
      <c r="H36" s="200"/>
      <c r="I36" s="94" t="s">
        <v>179</v>
      </c>
      <c r="J36" s="93">
        <f>IFERROR((I60/J45)*100, "")</f>
        <v>2.1677242042116691</v>
      </c>
      <c r="M36" s="239"/>
      <c r="N36" s="218" t="s">
        <v>178</v>
      </c>
      <c r="O36" s="218"/>
      <c r="P36" s="92">
        <f>IF(10*P34=0,"", 10*P34)</f>
        <v>699.09999999999991</v>
      </c>
      <c r="Q36" s="91"/>
    </row>
    <row r="37" spans="1:17" ht="21.95" customHeight="1" thickTop="1" thickBot="1">
      <c r="A37" s="78"/>
      <c r="B37" s="77"/>
      <c r="C37" s="77"/>
      <c r="H37" s="200"/>
      <c r="J37" s="65"/>
    </row>
    <row r="38" spans="1:17" ht="21.95" customHeight="1" thickTop="1">
      <c r="A38" s="78"/>
      <c r="B38" s="77"/>
      <c r="C38" s="77"/>
      <c r="H38" s="200"/>
      <c r="I38" s="196" t="s">
        <v>177</v>
      </c>
      <c r="J38" s="197"/>
    </row>
    <row r="39" spans="1:17" ht="21.95" customHeight="1">
      <c r="A39" s="78"/>
      <c r="B39" s="77"/>
      <c r="C39" s="77"/>
      <c r="H39" s="200"/>
      <c r="I39" s="202" t="s">
        <v>176</v>
      </c>
      <c r="J39" s="203"/>
    </row>
    <row r="40" spans="1:17" ht="21.95" customHeight="1">
      <c r="A40" s="78"/>
      <c r="B40" s="77"/>
      <c r="C40" s="77"/>
      <c r="H40" s="200"/>
      <c r="I40" s="204"/>
      <c r="J40" s="205"/>
      <c r="K40" s="90"/>
    </row>
    <row r="41" spans="1:17" ht="21.95" customHeight="1">
      <c r="A41" s="78"/>
      <c r="B41" s="77"/>
      <c r="C41" s="77"/>
      <c r="H41" s="200"/>
      <c r="I41" s="89" t="s">
        <v>175</v>
      </c>
      <c r="J41" s="88" t="s">
        <v>174</v>
      </c>
      <c r="K41" s="87"/>
    </row>
    <row r="42" spans="1:17" ht="21.95" customHeight="1">
      <c r="A42" s="78"/>
      <c r="B42" s="77"/>
      <c r="C42" s="77"/>
      <c r="H42" s="200"/>
      <c r="I42" s="86" t="s">
        <v>173</v>
      </c>
      <c r="J42" s="85" t="str">
        <f>IFERROR(K95,"")</f>
        <v>NO</v>
      </c>
      <c r="K42" s="84"/>
      <c r="L42" s="71"/>
    </row>
    <row r="43" spans="1:17" ht="21.95" customHeight="1" thickBot="1">
      <c r="A43" s="78"/>
      <c r="B43" s="77"/>
      <c r="C43" s="77"/>
      <c r="H43" s="200"/>
      <c r="I43" s="83" t="s">
        <v>172</v>
      </c>
      <c r="J43" s="82" t="str">
        <f>IFERROR(K126,"")</f>
        <v>NO</v>
      </c>
      <c r="L43" s="71"/>
      <c r="M43" s="81"/>
    </row>
    <row r="44" spans="1:17" ht="21.95" customHeight="1" thickTop="1" thickBot="1">
      <c r="A44" s="78"/>
      <c r="B44" s="77"/>
      <c r="C44" s="77"/>
      <c r="H44" s="200"/>
      <c r="J44" s="65"/>
      <c r="L44" s="71"/>
    </row>
    <row r="45" spans="1:17" ht="21.95" customHeight="1" thickTop="1">
      <c r="A45" s="78"/>
      <c r="B45" s="77"/>
      <c r="C45" s="77"/>
      <c r="H45" s="200"/>
      <c r="I45" s="80" t="s">
        <v>171</v>
      </c>
      <c r="J45" s="79">
        <f>IFERROR(AVERAGE(J4:J19),"---")</f>
        <v>2.0547499999999999</v>
      </c>
      <c r="L45" s="71"/>
    </row>
    <row r="46" spans="1:17" ht="21.95" customHeight="1">
      <c r="A46" s="78"/>
      <c r="B46" s="77"/>
      <c r="C46" s="77"/>
      <c r="H46" s="200"/>
      <c r="I46" s="104" t="s">
        <v>170</v>
      </c>
      <c r="J46" s="76">
        <f>J45</f>
        <v>2.0547499999999999</v>
      </c>
      <c r="L46" s="71"/>
    </row>
    <row r="47" spans="1:17" ht="21.95" customHeight="1">
      <c r="H47" s="200"/>
      <c r="I47" s="104" t="s">
        <v>169</v>
      </c>
      <c r="J47" s="75">
        <f>J45</f>
        <v>2.0547499999999999</v>
      </c>
      <c r="L47" s="71"/>
    </row>
    <row r="48" spans="1:17" ht="21.95" customHeight="1">
      <c r="H48" s="200"/>
      <c r="I48" s="104" t="s">
        <v>168</v>
      </c>
      <c r="J48" s="74">
        <f>J45</f>
        <v>2.0547499999999999</v>
      </c>
      <c r="L48" s="71"/>
    </row>
    <row r="49" spans="6:20" ht="21.95" customHeight="1">
      <c r="H49" s="200"/>
      <c r="I49" s="104" t="s">
        <v>167</v>
      </c>
      <c r="J49" s="72">
        <f>J45</f>
        <v>2.0547499999999999</v>
      </c>
      <c r="L49" s="71"/>
    </row>
    <row r="50" spans="6:20" ht="21.95" customHeight="1" thickBot="1">
      <c r="H50" s="200"/>
      <c r="I50" s="102" t="s">
        <v>166</v>
      </c>
      <c r="J50" s="69">
        <f>J45</f>
        <v>2.0547499999999999</v>
      </c>
    </row>
    <row r="51" spans="6:20" ht="21.95" customHeight="1" thickTop="1" thickBot="1">
      <c r="H51" s="200"/>
      <c r="K51" s="68"/>
    </row>
    <row r="52" spans="6:20" ht="21.95" customHeight="1" thickTop="1" thickBot="1">
      <c r="H52" s="200"/>
      <c r="I52" s="67" t="s">
        <v>165</v>
      </c>
      <c r="J52" s="66"/>
    </row>
    <row r="53" spans="6:20" ht="21.95" customHeight="1" thickTop="1" thickBot="1">
      <c r="H53" s="200"/>
      <c r="J53" s="65"/>
      <c r="K53" s="64"/>
    </row>
    <row r="54" spans="6:20" ht="21.95" customHeight="1" thickTop="1">
      <c r="H54" s="200"/>
      <c r="I54" s="206" t="s">
        <v>164</v>
      </c>
      <c r="J54" s="207"/>
      <c r="K54" s="63"/>
    </row>
    <row r="55" spans="6:20" ht="21.95" customHeight="1">
      <c r="H55" s="200"/>
      <c r="I55" s="62" t="s">
        <v>163</v>
      </c>
      <c r="J55" s="61" t="str">
        <f>IF(J52*25=0,"", J52*25)</f>
        <v/>
      </c>
      <c r="K55" s="60"/>
    </row>
    <row r="56" spans="6:20" ht="20.100000000000001" customHeight="1" thickBot="1">
      <c r="H56" s="201"/>
      <c r="I56" s="59" t="s">
        <v>162</v>
      </c>
      <c r="J56" s="58" t="str">
        <f>IFERROR(J55*10,"")</f>
        <v/>
      </c>
      <c r="K56" s="57"/>
    </row>
    <row r="57" spans="6:20" ht="21.95" customHeight="1" thickTop="1">
      <c r="H57" s="56"/>
      <c r="K57" s="55"/>
    </row>
    <row r="58" spans="6:20" ht="5.0999999999999996" customHeight="1">
      <c r="F58" s="23"/>
      <c r="G58" s="23"/>
      <c r="H58" s="23"/>
      <c r="I58" s="23"/>
      <c r="J58" s="23"/>
      <c r="K58" s="23"/>
      <c r="L58" s="23"/>
      <c r="M58" s="23"/>
      <c r="N58" s="23"/>
      <c r="O58" s="23"/>
      <c r="P58" s="23"/>
      <c r="Q58" s="23"/>
    </row>
    <row r="59" spans="6:20" ht="0.95" hidden="1" customHeight="1">
      <c r="F59" s="23"/>
      <c r="G59" s="23"/>
      <c r="H59" s="54" t="s">
        <v>161</v>
      </c>
      <c r="I59" s="23">
        <f>_xlfn.STDEV.S(J4:J11)</f>
        <v>4.4541313086039272E-2</v>
      </c>
      <c r="J59" s="23"/>
      <c r="K59" s="23"/>
      <c r="L59" s="23"/>
      <c r="M59" s="23"/>
      <c r="N59" s="23"/>
      <c r="O59" s="23"/>
      <c r="P59" s="23"/>
      <c r="Q59" s="23"/>
    </row>
    <row r="60" spans="6:20" ht="0.95" hidden="1" customHeight="1">
      <c r="F60" s="23"/>
      <c r="G60" s="23"/>
      <c r="H60" s="54" t="s">
        <v>160</v>
      </c>
      <c r="I60" s="23">
        <f>_xlfn.STDEV.S(J4:J19)</f>
        <v>4.4541313086039272E-2</v>
      </c>
      <c r="J60" s="23"/>
      <c r="K60" s="23"/>
      <c r="L60" s="23"/>
      <c r="M60" s="23"/>
      <c r="N60" s="23"/>
      <c r="O60" s="23"/>
      <c r="P60" s="23"/>
      <c r="Q60" s="23"/>
    </row>
    <row r="61" spans="6:20" ht="0.95" hidden="1" customHeight="1">
      <c r="F61" s="23"/>
      <c r="G61" s="23"/>
      <c r="H61" s="23" t="s">
        <v>159</v>
      </c>
      <c r="I61" s="23"/>
      <c r="J61" s="23"/>
      <c r="K61" s="23"/>
      <c r="L61" s="23"/>
      <c r="M61" s="23"/>
      <c r="N61" s="23"/>
      <c r="O61" s="39"/>
      <c r="P61" s="39" t="s">
        <v>158</v>
      </c>
      <c r="Q61" s="39"/>
      <c r="R61" s="48" t="s">
        <v>157</v>
      </c>
      <c r="S61" s="48"/>
      <c r="T61" s="53">
        <f>P27</f>
        <v>65.856999999999999</v>
      </c>
    </row>
    <row r="62" spans="6:20" ht="0.95" hidden="1" customHeight="1">
      <c r="F62" s="23"/>
      <c r="G62" s="39" t="s">
        <v>156</v>
      </c>
      <c r="H62" s="39"/>
      <c r="I62" s="23" t="str">
        <f>IFERROR(_xlfn.STDEV.S(#REF!),"---")</f>
        <v>---</v>
      </c>
      <c r="J62" s="23"/>
      <c r="K62" s="23"/>
      <c r="L62" s="23"/>
      <c r="M62" s="23"/>
      <c r="N62" s="23"/>
      <c r="O62" s="39"/>
      <c r="P62" s="49">
        <v>145</v>
      </c>
      <c r="Q62" s="39"/>
      <c r="R62" s="48" t="s">
        <v>155</v>
      </c>
      <c r="S62" s="48"/>
      <c r="T62" s="50">
        <f>COUNTA(P4:P23)</f>
        <v>20</v>
      </c>
    </row>
    <row r="63" spans="6:20" ht="0.95" hidden="1" customHeight="1">
      <c r="F63" s="23"/>
      <c r="G63" s="39">
        <v>1</v>
      </c>
      <c r="H63" s="47">
        <f t="shared" ref="H63:H78" si="6">J4</f>
        <v>2.06</v>
      </c>
      <c r="I63" s="23">
        <f>IFERROR(_xlfn.STDEV.S(J4:J19),"---")</f>
        <v>4.4541313086039272E-2</v>
      </c>
      <c r="J63" s="23"/>
      <c r="K63" s="23"/>
      <c r="L63" s="23"/>
      <c r="M63" s="23"/>
      <c r="N63" s="23"/>
      <c r="O63" s="39"/>
      <c r="P63" s="49">
        <v>125</v>
      </c>
      <c r="Q63" s="39"/>
      <c r="R63" s="48" t="s">
        <v>154</v>
      </c>
      <c r="S63" s="48"/>
      <c r="T63" s="50">
        <f>T61</f>
        <v>65.856999999999999</v>
      </c>
    </row>
    <row r="64" spans="6:20" ht="0.95" hidden="1" customHeight="1">
      <c r="F64" s="23"/>
      <c r="G64" s="39">
        <v>2</v>
      </c>
      <c r="H64" s="47">
        <f t="shared" si="6"/>
        <v>2.1040000000000001</v>
      </c>
      <c r="I64" s="23">
        <v>16</v>
      </c>
      <c r="J64" s="23"/>
      <c r="K64" s="23"/>
      <c r="L64" s="23"/>
      <c r="M64" s="23"/>
      <c r="N64" s="23"/>
      <c r="O64" s="39"/>
      <c r="P64" s="49">
        <v>190</v>
      </c>
      <c r="Q64" s="39"/>
      <c r="R64" s="48" t="s">
        <v>153</v>
      </c>
      <c r="S64" s="48"/>
      <c r="T64" s="50">
        <f>_xlfn.STDEV.S(P4:P23)</f>
        <v>10.476028827757151</v>
      </c>
    </row>
    <row r="65" spans="6:20" ht="0.95" hidden="1" customHeight="1">
      <c r="F65" s="23"/>
      <c r="G65" s="39">
        <v>3</v>
      </c>
      <c r="H65" s="47">
        <f t="shared" si="6"/>
        <v>2.0470000000000002</v>
      </c>
      <c r="I65" s="23"/>
      <c r="J65" s="37"/>
      <c r="K65" s="52" t="s">
        <v>152</v>
      </c>
      <c r="L65" s="23"/>
      <c r="M65" s="23"/>
      <c r="N65" s="23"/>
      <c r="O65" s="39"/>
      <c r="P65" s="49">
        <v>135</v>
      </c>
      <c r="Q65" s="39"/>
      <c r="R65" s="48" t="s">
        <v>127</v>
      </c>
      <c r="S65" s="48"/>
      <c r="T65" s="50">
        <f>T62-1</f>
        <v>19</v>
      </c>
    </row>
    <row r="66" spans="6:20" ht="0.95" hidden="1" customHeight="1">
      <c r="F66" s="23"/>
      <c r="G66" s="39">
        <v>4</v>
      </c>
      <c r="H66" s="47">
        <f t="shared" si="6"/>
        <v>2.093</v>
      </c>
      <c r="I66" s="23"/>
      <c r="J66" s="33">
        <v>1</v>
      </c>
      <c r="K66" s="44">
        <f t="shared" ref="K66:K81" si="7">LARGE(H$63:H$78,J66)</f>
        <v>2.1040000000000001</v>
      </c>
      <c r="L66" s="23"/>
      <c r="M66" s="23"/>
      <c r="N66" s="23"/>
      <c r="O66" s="39"/>
      <c r="P66" s="49">
        <v>220</v>
      </c>
      <c r="Q66" s="39"/>
      <c r="R66" s="48" t="s">
        <v>151</v>
      </c>
      <c r="S66" s="48"/>
      <c r="T66" s="51" t="s">
        <v>150</v>
      </c>
    </row>
    <row r="67" spans="6:20" ht="33.950000000000003" hidden="1" customHeight="1">
      <c r="F67" s="23"/>
      <c r="G67" s="39">
        <v>5</v>
      </c>
      <c r="H67" s="47">
        <f t="shared" si="6"/>
        <v>2.0499999999999998</v>
      </c>
      <c r="I67" s="23"/>
      <c r="J67" s="33">
        <v>2</v>
      </c>
      <c r="K67" s="44">
        <f t="shared" si="7"/>
        <v>2.093</v>
      </c>
      <c r="L67" s="23"/>
      <c r="M67" s="23"/>
      <c r="N67" s="23"/>
      <c r="O67" s="39"/>
      <c r="P67" s="49">
        <v>130</v>
      </c>
      <c r="Q67" s="39"/>
      <c r="R67" s="48"/>
      <c r="S67" s="48"/>
      <c r="T67" s="51"/>
    </row>
    <row r="68" spans="6:20" ht="33.950000000000003" hidden="1" customHeight="1">
      <c r="F68" s="23"/>
      <c r="G68" s="39">
        <v>6</v>
      </c>
      <c r="H68" s="47">
        <f t="shared" si="6"/>
        <v>1.9630000000000001</v>
      </c>
      <c r="I68" s="23"/>
      <c r="J68" s="33">
        <v>3</v>
      </c>
      <c r="K68" s="44">
        <f t="shared" si="7"/>
        <v>2.0870000000000002</v>
      </c>
      <c r="L68" s="23"/>
      <c r="M68" s="23"/>
      <c r="N68" s="23"/>
      <c r="O68" s="39"/>
      <c r="P68" s="49">
        <v>210</v>
      </c>
      <c r="Q68" s="39"/>
      <c r="R68" s="48"/>
      <c r="S68" s="48"/>
      <c r="T68" s="51"/>
    </row>
    <row r="69" spans="6:20" ht="33.950000000000003" hidden="1" customHeight="1">
      <c r="F69" s="23"/>
      <c r="G69" s="39">
        <v>7</v>
      </c>
      <c r="H69" s="47">
        <f t="shared" si="6"/>
        <v>2.0339999999999998</v>
      </c>
      <c r="I69" s="23"/>
      <c r="J69" s="33">
        <v>4</v>
      </c>
      <c r="K69" s="44">
        <f t="shared" si="7"/>
        <v>2.06</v>
      </c>
      <c r="L69" s="23"/>
      <c r="M69" s="23"/>
      <c r="N69" s="23"/>
      <c r="O69" s="39"/>
      <c r="P69" s="49">
        <v>3</v>
      </c>
      <c r="Q69" s="39"/>
      <c r="R69" s="48" t="s">
        <v>149</v>
      </c>
      <c r="S69" s="48"/>
      <c r="T69" s="51" t="s">
        <v>148</v>
      </c>
    </row>
    <row r="70" spans="6:20" ht="33.950000000000003" hidden="1" customHeight="1">
      <c r="F70" s="23"/>
      <c r="G70" s="39">
        <v>8</v>
      </c>
      <c r="H70" s="47">
        <f t="shared" si="6"/>
        <v>2.0870000000000002</v>
      </c>
      <c r="I70" s="23"/>
      <c r="J70" s="33">
        <v>5</v>
      </c>
      <c r="K70" s="44">
        <f t="shared" si="7"/>
        <v>2.0499999999999998</v>
      </c>
      <c r="L70" s="23"/>
      <c r="M70" s="23"/>
      <c r="N70" s="23"/>
      <c r="O70" s="39"/>
      <c r="P70" s="49">
        <v>165</v>
      </c>
      <c r="Q70" s="39"/>
      <c r="R70" s="48" t="s">
        <v>147</v>
      </c>
      <c r="S70" s="48"/>
      <c r="T70" s="50">
        <f>T64/SQRT(T62)</f>
        <v>2.3425112593112423</v>
      </c>
    </row>
    <row r="71" spans="6:20" ht="33.950000000000003" hidden="1" customHeight="1">
      <c r="F71" s="23"/>
      <c r="G71" s="39">
        <v>9</v>
      </c>
      <c r="H71" s="47">
        <f t="shared" si="6"/>
        <v>0</v>
      </c>
      <c r="I71" s="23"/>
      <c r="J71" s="33">
        <v>6</v>
      </c>
      <c r="K71" s="44">
        <f t="shared" si="7"/>
        <v>2.0470000000000002</v>
      </c>
      <c r="L71" s="23"/>
      <c r="M71" s="23"/>
      <c r="N71" s="23"/>
      <c r="O71" s="39"/>
      <c r="P71" s="49">
        <v>165</v>
      </c>
      <c r="Q71" s="39"/>
      <c r="R71" s="48" t="s">
        <v>146</v>
      </c>
      <c r="S71" s="48"/>
      <c r="T71" s="50">
        <f>_xlfn.T.INV(0.05,T65)</f>
        <v>-1.7291328115213698</v>
      </c>
    </row>
    <row r="72" spans="6:20" ht="33.950000000000003" hidden="1" customHeight="1">
      <c r="F72" s="23"/>
      <c r="G72" s="39">
        <v>10</v>
      </c>
      <c r="H72" s="47">
        <f t="shared" si="6"/>
        <v>0</v>
      </c>
      <c r="I72" s="23"/>
      <c r="J72" s="33">
        <v>7</v>
      </c>
      <c r="K72" s="44">
        <f t="shared" si="7"/>
        <v>2.0339999999999998</v>
      </c>
      <c r="L72" s="23"/>
      <c r="M72" s="23"/>
      <c r="N72" s="23"/>
      <c r="O72" s="39"/>
      <c r="P72" s="49">
        <v>150</v>
      </c>
      <c r="Q72" s="39"/>
      <c r="R72" s="48" t="s">
        <v>145</v>
      </c>
      <c r="S72" s="48"/>
      <c r="T72" s="48">
        <f>T63-(T71*T70)</f>
        <v>69.907513079833308</v>
      </c>
    </row>
    <row r="73" spans="6:20" ht="33.950000000000003" hidden="1" customHeight="1">
      <c r="F73" s="23"/>
      <c r="G73" s="39">
        <v>11</v>
      </c>
      <c r="H73" s="47">
        <f t="shared" si="6"/>
        <v>0</v>
      </c>
      <c r="I73" s="23"/>
      <c r="J73" s="33">
        <v>8</v>
      </c>
      <c r="K73" s="44">
        <f t="shared" si="7"/>
        <v>1.9630000000000001</v>
      </c>
      <c r="L73" s="23"/>
      <c r="M73" s="23"/>
      <c r="N73" s="23"/>
      <c r="O73" s="39" t="s">
        <v>134</v>
      </c>
      <c r="P73" s="39">
        <f>AVERAGE(P62:P72)</f>
        <v>148.90909090909091</v>
      </c>
      <c r="Q73" s="39"/>
      <c r="R73" s="48" t="s">
        <v>144</v>
      </c>
      <c r="S73" s="48"/>
      <c r="T73" s="48">
        <f>T63+(T71*T70)</f>
        <v>61.806486920166684</v>
      </c>
    </row>
    <row r="74" spans="6:20" ht="33.950000000000003" hidden="1" customHeight="1">
      <c r="F74" s="23"/>
      <c r="G74" s="39">
        <v>12</v>
      </c>
      <c r="H74" s="47">
        <f t="shared" si="6"/>
        <v>0</v>
      </c>
      <c r="I74" s="23"/>
      <c r="J74" s="33">
        <v>9</v>
      </c>
      <c r="K74" s="44">
        <f t="shared" si="7"/>
        <v>0</v>
      </c>
      <c r="L74" s="23"/>
      <c r="M74" s="23"/>
      <c r="N74" s="23"/>
      <c r="O74" s="39" t="s">
        <v>25</v>
      </c>
      <c r="P74" s="39">
        <f>_xlfn.STDEV.S(P62:P72)</f>
        <v>57.810820000160085</v>
      </c>
      <c r="Q74" s="39"/>
    </row>
    <row r="75" spans="6:20" ht="3" hidden="1" customHeight="1">
      <c r="F75" s="23"/>
      <c r="G75" s="39">
        <v>13</v>
      </c>
      <c r="H75" s="47">
        <f t="shared" si="6"/>
        <v>0</v>
      </c>
      <c r="I75" s="23"/>
      <c r="J75" s="33">
        <v>10</v>
      </c>
      <c r="K75" s="44">
        <f t="shared" si="7"/>
        <v>0</v>
      </c>
      <c r="L75" s="23"/>
      <c r="M75" s="23"/>
      <c r="N75" s="23"/>
      <c r="O75" s="39" t="s">
        <v>133</v>
      </c>
      <c r="P75" s="39">
        <f>MIN(P62:P72)</f>
        <v>3</v>
      </c>
      <c r="Q75" s="39"/>
    </row>
    <row r="76" spans="6:20" ht="0.95" hidden="1" customHeight="1">
      <c r="F76" s="23"/>
      <c r="G76" s="39">
        <v>14</v>
      </c>
      <c r="H76" s="47">
        <f t="shared" si="6"/>
        <v>0</v>
      </c>
      <c r="I76" s="23"/>
      <c r="J76" s="33">
        <v>11</v>
      </c>
      <c r="K76" s="44">
        <f t="shared" si="7"/>
        <v>0</v>
      </c>
      <c r="L76" s="23"/>
      <c r="M76" s="23"/>
      <c r="N76" s="23"/>
      <c r="O76" s="39" t="s">
        <v>129</v>
      </c>
      <c r="P76" s="39">
        <f>(P73-P75)/P74</f>
        <v>2.5239062671777854</v>
      </c>
      <c r="Q76" s="39"/>
    </row>
    <row r="77" spans="6:20" ht="0.95" hidden="1" customHeight="1">
      <c r="F77" s="23"/>
      <c r="G77" s="39">
        <v>15</v>
      </c>
      <c r="H77" s="47">
        <f t="shared" si="6"/>
        <v>0</v>
      </c>
      <c r="I77" s="23"/>
      <c r="J77" s="33">
        <v>12</v>
      </c>
      <c r="K77" s="44">
        <f t="shared" si="7"/>
        <v>0</v>
      </c>
      <c r="L77" s="23"/>
      <c r="M77" s="23"/>
      <c r="N77" s="23"/>
      <c r="O77" s="39" t="s">
        <v>143</v>
      </c>
      <c r="P77" s="39">
        <v>0.05</v>
      </c>
      <c r="Q77" s="39"/>
    </row>
    <row r="78" spans="6:20" ht="0.95" hidden="1" customHeight="1">
      <c r="F78" s="23"/>
      <c r="G78" s="39">
        <v>16</v>
      </c>
      <c r="H78" s="47">
        <f t="shared" si="6"/>
        <v>0</v>
      </c>
      <c r="I78" s="23"/>
      <c r="J78" s="33">
        <v>13</v>
      </c>
      <c r="K78" s="44">
        <f t="shared" si="7"/>
        <v>0</v>
      </c>
      <c r="L78" s="23"/>
      <c r="M78" s="23"/>
      <c r="N78" s="23"/>
      <c r="O78" s="39" t="s">
        <v>128</v>
      </c>
      <c r="P78" s="39">
        <v>11</v>
      </c>
      <c r="Q78" s="46" t="s">
        <v>134</v>
      </c>
    </row>
    <row r="79" spans="6:20" ht="0.95" hidden="1" customHeight="1">
      <c r="F79" s="23"/>
      <c r="G79" s="23"/>
      <c r="H79" s="26"/>
      <c r="I79" s="23"/>
      <c r="J79" s="33">
        <v>14</v>
      </c>
      <c r="K79" s="44">
        <f t="shared" si="7"/>
        <v>0</v>
      </c>
      <c r="L79" s="23"/>
      <c r="M79" s="23"/>
      <c r="N79" s="23"/>
      <c r="O79" s="39" t="s">
        <v>140</v>
      </c>
      <c r="P79" s="39">
        <f>P77/P78</f>
        <v>4.5454545454545461E-3</v>
      </c>
      <c r="Q79" s="45" t="s">
        <v>25</v>
      </c>
    </row>
    <row r="80" spans="6:20" ht="0.95" hidden="1" customHeight="1">
      <c r="F80" s="23"/>
      <c r="G80" s="23"/>
      <c r="H80" s="26"/>
      <c r="I80" s="23"/>
      <c r="J80" s="33">
        <v>15</v>
      </c>
      <c r="K80" s="44">
        <f t="shared" si="7"/>
        <v>0</v>
      </c>
      <c r="L80" s="23"/>
      <c r="M80" s="23"/>
      <c r="N80" s="23"/>
      <c r="O80" s="39" t="s">
        <v>127</v>
      </c>
      <c r="P80" s="39">
        <f>P78-2</f>
        <v>9</v>
      </c>
      <c r="Q80" s="45" t="s">
        <v>133</v>
      </c>
    </row>
    <row r="81" spans="6:17" ht="0.95" hidden="1" customHeight="1">
      <c r="F81" s="23"/>
      <c r="G81" s="23"/>
      <c r="H81" s="23"/>
      <c r="I81" s="23"/>
      <c r="J81" s="33">
        <v>16</v>
      </c>
      <c r="K81" s="44">
        <f t="shared" si="7"/>
        <v>0</v>
      </c>
      <c r="L81" s="23"/>
      <c r="M81" s="23"/>
      <c r="N81" s="23"/>
      <c r="O81" s="39" t="s">
        <v>126</v>
      </c>
      <c r="P81" s="39">
        <f>_xlfn.T.INV(1-P79,P80)</f>
        <v>3.3095169292973794</v>
      </c>
      <c r="Q81" s="41" t="s">
        <v>142</v>
      </c>
    </row>
    <row r="82" spans="6:17" ht="0.95" hidden="1" customHeight="1">
      <c r="F82" s="23"/>
      <c r="G82" s="23"/>
      <c r="H82" s="23"/>
      <c r="I82" s="23"/>
      <c r="J82" s="31" t="s">
        <v>135</v>
      </c>
      <c r="K82" s="43">
        <v>0.05</v>
      </c>
      <c r="L82" s="23"/>
      <c r="M82" s="23"/>
      <c r="N82" s="23"/>
      <c r="O82" s="39" t="s">
        <v>125</v>
      </c>
      <c r="P82" s="39">
        <f>(P78-1)*P81/SQRT(P78*(P80+(P81^2)))</f>
        <v>2.2339077064682873</v>
      </c>
      <c r="Q82" s="41" t="s">
        <v>129</v>
      </c>
    </row>
    <row r="83" spans="6:17" ht="0.95" hidden="1" customHeight="1">
      <c r="F83" s="23"/>
      <c r="G83" s="23"/>
      <c r="H83" s="23"/>
      <c r="I83" s="23"/>
      <c r="J83" s="25" t="s">
        <v>134</v>
      </c>
      <c r="K83" s="42">
        <f>AVERAGE(K66:K81)</f>
        <v>1.0273750000000001</v>
      </c>
      <c r="L83" s="23"/>
      <c r="M83" s="23"/>
      <c r="N83" s="23"/>
      <c r="O83" s="39"/>
      <c r="P83" s="39"/>
      <c r="Q83" s="41" t="s">
        <v>135</v>
      </c>
    </row>
    <row r="84" spans="6:17" ht="0.95" hidden="1" customHeight="1">
      <c r="F84" s="23"/>
      <c r="G84" s="23"/>
      <c r="H84" s="23"/>
      <c r="I84" s="23"/>
      <c r="J84" s="25" t="s">
        <v>25</v>
      </c>
      <c r="K84" s="38">
        <f>_xlfn.STDEV.S(K66:K81)</f>
        <v>1.0615045218933359</v>
      </c>
      <c r="L84" s="23"/>
      <c r="M84" s="23"/>
      <c r="N84" s="23"/>
      <c r="O84" s="39"/>
      <c r="P84" s="39"/>
      <c r="Q84" s="41" t="s">
        <v>141</v>
      </c>
    </row>
    <row r="85" spans="6:17" ht="33.950000000000003" hidden="1" customHeight="1">
      <c r="F85" s="23"/>
      <c r="G85" s="23"/>
      <c r="H85" s="23"/>
      <c r="I85" s="23"/>
      <c r="J85" s="25" t="s">
        <v>133</v>
      </c>
      <c r="K85" s="42">
        <f>MIN(K66:K81)</f>
        <v>0</v>
      </c>
      <c r="L85" s="23"/>
      <c r="M85" s="23"/>
      <c r="N85" s="23"/>
      <c r="O85" s="39"/>
      <c r="P85" s="39"/>
      <c r="Q85" s="41" t="s">
        <v>140</v>
      </c>
    </row>
    <row r="86" spans="6:17" ht="33.950000000000003" hidden="1" customHeight="1">
      <c r="F86" s="23"/>
      <c r="G86" s="23"/>
      <c r="H86" s="23"/>
      <c r="I86" s="23"/>
      <c r="J86" s="25" t="s">
        <v>132</v>
      </c>
      <c r="K86" s="42">
        <f>MAX(K66:K81)</f>
        <v>2.1040000000000001</v>
      </c>
      <c r="L86" s="23"/>
      <c r="M86" s="23"/>
      <c r="N86" s="23"/>
      <c r="O86" s="39"/>
      <c r="P86" s="39"/>
      <c r="Q86" s="41" t="s">
        <v>127</v>
      </c>
    </row>
    <row r="87" spans="6:17" ht="33.950000000000003" hidden="1" customHeight="1">
      <c r="F87" s="23"/>
      <c r="G87" s="23"/>
      <c r="H87" s="23"/>
      <c r="I87" s="23"/>
      <c r="J87" s="25" t="s">
        <v>131</v>
      </c>
      <c r="K87" s="40">
        <f>K83-K85</f>
        <v>1.0273750000000001</v>
      </c>
      <c r="L87" s="23"/>
      <c r="M87" s="23"/>
      <c r="N87" s="23"/>
      <c r="O87" s="39"/>
      <c r="P87" s="39"/>
      <c r="Q87" s="39" t="s">
        <v>126</v>
      </c>
    </row>
    <row r="88" spans="6:17" ht="33.950000000000003" hidden="1" customHeight="1">
      <c r="F88" s="23"/>
      <c r="G88" s="23"/>
      <c r="H88" s="23"/>
      <c r="I88" s="23"/>
      <c r="J88" s="25" t="s">
        <v>130</v>
      </c>
      <c r="K88" s="40">
        <f>K86-K83</f>
        <v>1.0766249999999999</v>
      </c>
      <c r="L88" s="23"/>
      <c r="M88" s="23"/>
      <c r="N88" s="23"/>
      <c r="O88" s="39"/>
      <c r="P88" s="39"/>
      <c r="Q88" s="39" t="s">
        <v>139</v>
      </c>
    </row>
    <row r="89" spans="6:17" ht="33.950000000000003" hidden="1" customHeight="1">
      <c r="F89" s="23"/>
      <c r="G89" s="23"/>
      <c r="H89" s="23"/>
      <c r="I89" s="23"/>
      <c r="J89" s="25" t="s">
        <v>129</v>
      </c>
      <c r="K89" s="38">
        <f>MAX(K87:K88)/K84</f>
        <v>1.014244384074497</v>
      </c>
      <c r="L89" s="23"/>
      <c r="M89" s="23"/>
      <c r="N89" s="23"/>
      <c r="O89" s="39"/>
      <c r="P89" s="39"/>
      <c r="Q89" s="39"/>
    </row>
    <row r="90" spans="6:17" ht="33.950000000000003" hidden="1" customHeight="1">
      <c r="F90" s="23"/>
      <c r="G90" s="23"/>
      <c r="H90" s="23"/>
      <c r="I90" s="23"/>
      <c r="J90" s="25" t="s">
        <v>128</v>
      </c>
      <c r="K90" s="38">
        <f>COUNT(K66:K81)</f>
        <v>16</v>
      </c>
      <c r="L90" s="23"/>
      <c r="M90" s="23"/>
      <c r="N90" s="23"/>
      <c r="O90" s="39"/>
      <c r="P90" s="39"/>
      <c r="Q90" s="39"/>
    </row>
    <row r="91" spans="6:17" ht="33.950000000000003" hidden="1" customHeight="1">
      <c r="F91" s="23"/>
      <c r="G91" s="23"/>
      <c r="H91" s="23"/>
      <c r="I91" s="23"/>
      <c r="J91" s="25" t="s">
        <v>124</v>
      </c>
      <c r="K91" s="38">
        <f>K82/K90</f>
        <v>3.1250000000000002E-3</v>
      </c>
      <c r="L91" s="23"/>
      <c r="M91" s="23"/>
      <c r="N91" s="23"/>
      <c r="O91" s="39"/>
      <c r="P91" s="39"/>
      <c r="Q91" s="39"/>
    </row>
    <row r="92" spans="6:17" ht="33.950000000000003" hidden="1" customHeight="1">
      <c r="F92" s="23"/>
      <c r="G92" s="23"/>
      <c r="H92" s="23"/>
      <c r="I92" s="23"/>
      <c r="J92" s="25" t="s">
        <v>127</v>
      </c>
      <c r="K92" s="38">
        <f>K90-2</f>
        <v>14</v>
      </c>
      <c r="L92" s="23"/>
      <c r="M92" s="23"/>
      <c r="N92" s="23"/>
      <c r="O92" s="23"/>
      <c r="P92" s="23"/>
      <c r="Q92" s="23"/>
    </row>
    <row r="93" spans="6:17" ht="33.950000000000003" hidden="1" customHeight="1">
      <c r="F93" s="23"/>
      <c r="G93" s="23"/>
      <c r="H93" s="23"/>
      <c r="I93" s="23"/>
      <c r="J93" s="25" t="s">
        <v>126</v>
      </c>
      <c r="K93" s="38">
        <f>TINV(K91,K92)</f>
        <v>3.5620894950023954</v>
      </c>
      <c r="L93" s="23"/>
      <c r="M93" s="23"/>
      <c r="N93" s="23"/>
      <c r="O93" s="23"/>
      <c r="P93" s="23"/>
      <c r="Q93" s="23"/>
    </row>
    <row r="94" spans="6:17" ht="33.950000000000003" hidden="1" customHeight="1">
      <c r="F94" s="23"/>
      <c r="G94" s="23"/>
      <c r="H94" s="23"/>
      <c r="I94" s="23"/>
      <c r="J94" s="25" t="s">
        <v>125</v>
      </c>
      <c r="K94" s="38">
        <f>(K90-1)*K93/SQRT(K90*(K92+K93^2))</f>
        <v>2.5856763406719638</v>
      </c>
      <c r="L94" s="23"/>
      <c r="M94" s="23"/>
      <c r="N94" s="23"/>
      <c r="O94" s="23"/>
      <c r="P94" s="23"/>
      <c r="Q94" s="23"/>
    </row>
    <row r="95" spans="6:17" ht="33.950000000000003" hidden="1" customHeight="1">
      <c r="F95" s="23"/>
      <c r="G95" s="23"/>
      <c r="H95" s="23"/>
      <c r="I95" s="23"/>
      <c r="J95" s="25" t="s">
        <v>124</v>
      </c>
      <c r="K95" s="38" t="str">
        <f>IF(K89&gt;K94,"YES","NO")</f>
        <v>NO</v>
      </c>
      <c r="L95" s="23"/>
      <c r="M95" s="23"/>
      <c r="N95" s="23"/>
      <c r="O95" s="23"/>
      <c r="P95" s="23"/>
      <c r="Q95" s="23"/>
    </row>
    <row r="96" spans="6:17" ht="33.950000000000003" hidden="1" customHeight="1">
      <c r="F96" s="23"/>
      <c r="G96" s="23"/>
      <c r="H96" s="26"/>
      <c r="I96" s="23"/>
      <c r="J96" s="26"/>
      <c r="K96" s="23"/>
      <c r="L96" s="23"/>
      <c r="M96" s="23"/>
      <c r="N96" s="23"/>
      <c r="O96" s="23"/>
      <c r="P96" s="23"/>
      <c r="Q96" s="23"/>
    </row>
    <row r="97" spans="6:17" ht="33.950000000000003" hidden="1" customHeight="1">
      <c r="F97" s="23"/>
      <c r="G97" s="23"/>
      <c r="H97" s="29"/>
      <c r="I97" s="23"/>
      <c r="J97" s="37"/>
      <c r="K97" s="36" t="s">
        <v>138</v>
      </c>
      <c r="L97" s="23"/>
      <c r="M97" s="23"/>
      <c r="N97" s="23"/>
      <c r="O97" s="23"/>
      <c r="P97" s="23"/>
      <c r="Q97" s="23"/>
    </row>
    <row r="98" spans="6:17" ht="11.1" hidden="1" customHeight="1">
      <c r="F98" s="23"/>
      <c r="G98" s="23"/>
      <c r="H98" s="29"/>
      <c r="I98" s="23"/>
      <c r="J98" s="33">
        <v>1</v>
      </c>
      <c r="K98" s="32">
        <f t="shared" ref="K98:K112" si="8">K67</f>
        <v>2.093</v>
      </c>
      <c r="L98" s="23"/>
      <c r="M98" s="23"/>
      <c r="N98" s="23"/>
      <c r="O98" s="23"/>
      <c r="P98" s="23"/>
      <c r="Q98" s="23"/>
    </row>
    <row r="99" spans="6:17" ht="0.95" hidden="1" customHeight="1">
      <c r="F99" s="23"/>
      <c r="G99" s="23"/>
      <c r="H99" s="29"/>
      <c r="I99" s="23"/>
      <c r="J99" s="33">
        <v>2</v>
      </c>
      <c r="K99" s="32">
        <f t="shared" si="8"/>
        <v>2.0870000000000002</v>
      </c>
      <c r="L99" s="23"/>
      <c r="M99" s="23"/>
      <c r="N99" s="23"/>
      <c r="O99" s="23"/>
      <c r="P99" s="23"/>
      <c r="Q99" s="23"/>
    </row>
    <row r="100" spans="6:17" ht="0.95" hidden="1" customHeight="1">
      <c r="F100" s="23"/>
      <c r="G100" s="23"/>
      <c r="H100" s="29"/>
      <c r="I100" s="23"/>
      <c r="J100" s="33">
        <v>3</v>
      </c>
      <c r="K100" s="32">
        <f t="shared" si="8"/>
        <v>2.06</v>
      </c>
      <c r="L100" s="23"/>
      <c r="M100" s="23"/>
      <c r="N100" s="23"/>
      <c r="O100" s="23"/>
      <c r="P100" s="23"/>
      <c r="Q100" s="23"/>
    </row>
    <row r="101" spans="6:17" ht="0.95" hidden="1" customHeight="1">
      <c r="F101" s="23"/>
      <c r="G101" s="23"/>
      <c r="H101" s="29"/>
      <c r="I101" s="23"/>
      <c r="J101" s="33">
        <v>4</v>
      </c>
      <c r="K101" s="32">
        <f t="shared" si="8"/>
        <v>2.0499999999999998</v>
      </c>
      <c r="L101" s="23"/>
      <c r="M101" s="23"/>
      <c r="N101" s="23"/>
      <c r="O101" s="23"/>
      <c r="P101" s="23"/>
      <c r="Q101" s="23"/>
    </row>
    <row r="102" spans="6:17" ht="0.95" hidden="1" customHeight="1">
      <c r="F102" s="23"/>
      <c r="G102" s="23"/>
      <c r="H102" s="29"/>
      <c r="I102" s="23"/>
      <c r="J102" s="33">
        <v>5</v>
      </c>
      <c r="K102" s="32">
        <f t="shared" si="8"/>
        <v>2.0470000000000002</v>
      </c>
      <c r="L102" s="23"/>
      <c r="M102" s="23"/>
      <c r="N102" s="23"/>
      <c r="O102" s="23"/>
      <c r="P102" s="23"/>
      <c r="Q102" s="23"/>
    </row>
    <row r="103" spans="6:17" ht="0.95" hidden="1" customHeight="1">
      <c r="F103" s="23"/>
      <c r="G103" s="23"/>
      <c r="H103" s="29"/>
      <c r="I103" s="23"/>
      <c r="J103" s="33">
        <v>6</v>
      </c>
      <c r="K103" s="32">
        <f t="shared" si="8"/>
        <v>2.0339999999999998</v>
      </c>
      <c r="L103" s="23"/>
      <c r="M103" s="23"/>
      <c r="N103" s="23"/>
      <c r="O103" s="23"/>
      <c r="P103" s="23"/>
      <c r="Q103" s="23"/>
    </row>
    <row r="104" spans="6:17" ht="0.95" hidden="1" customHeight="1">
      <c r="F104" s="23"/>
      <c r="G104" s="23"/>
      <c r="H104" s="29"/>
      <c r="I104" s="23"/>
      <c r="J104" s="33">
        <v>7</v>
      </c>
      <c r="K104" s="32">
        <f t="shared" si="8"/>
        <v>1.9630000000000001</v>
      </c>
      <c r="L104" s="23"/>
      <c r="M104" s="23"/>
      <c r="N104" s="23"/>
      <c r="O104" s="23"/>
      <c r="P104" s="23"/>
      <c r="Q104" s="23"/>
    </row>
    <row r="105" spans="6:17" ht="0.95" hidden="1" customHeight="1">
      <c r="F105" s="23"/>
      <c r="G105" s="23"/>
      <c r="H105" s="29"/>
      <c r="I105" s="23"/>
      <c r="J105" s="33">
        <v>8</v>
      </c>
      <c r="K105" s="32">
        <f t="shared" si="8"/>
        <v>0</v>
      </c>
      <c r="L105" s="23"/>
      <c r="M105" s="23"/>
      <c r="N105" s="23"/>
      <c r="O105" s="23"/>
      <c r="P105" s="23"/>
      <c r="Q105" s="23"/>
    </row>
    <row r="106" spans="6:17" ht="0.95" hidden="1" customHeight="1">
      <c r="F106" s="23"/>
      <c r="G106" s="23"/>
      <c r="H106" s="29"/>
      <c r="I106" s="23"/>
      <c r="J106" s="33">
        <v>9</v>
      </c>
      <c r="K106" s="32">
        <f t="shared" si="8"/>
        <v>0</v>
      </c>
      <c r="L106" s="23"/>
      <c r="M106" s="23"/>
      <c r="N106" s="23"/>
      <c r="O106" s="23"/>
      <c r="P106" s="23"/>
      <c r="Q106" s="23"/>
    </row>
    <row r="107" spans="6:17" ht="0.95" hidden="1" customHeight="1">
      <c r="F107" s="23"/>
      <c r="G107" s="23"/>
      <c r="H107" s="29"/>
      <c r="I107" s="23"/>
      <c r="J107" s="33">
        <v>10</v>
      </c>
      <c r="K107" s="32">
        <f t="shared" si="8"/>
        <v>0</v>
      </c>
      <c r="L107" s="23"/>
      <c r="M107" s="23"/>
      <c r="N107" s="23"/>
      <c r="O107" s="23"/>
      <c r="P107" s="23"/>
      <c r="Q107" s="23"/>
    </row>
    <row r="108" spans="6:17" ht="0.95" hidden="1" customHeight="1">
      <c r="F108" s="23"/>
      <c r="G108" s="23"/>
      <c r="H108" s="29"/>
      <c r="I108" s="23"/>
      <c r="J108" s="33">
        <v>11</v>
      </c>
      <c r="K108" s="32">
        <f t="shared" si="8"/>
        <v>0</v>
      </c>
      <c r="L108" s="23"/>
      <c r="M108" s="23"/>
      <c r="N108" s="23"/>
      <c r="O108" s="23"/>
      <c r="P108" s="23"/>
      <c r="Q108" s="23"/>
    </row>
    <row r="109" spans="6:17" ht="0.95" hidden="1" customHeight="1">
      <c r="F109" s="23"/>
      <c r="G109" s="23"/>
      <c r="H109" s="29"/>
      <c r="I109" s="23"/>
      <c r="J109" s="33">
        <v>12</v>
      </c>
      <c r="K109" s="32">
        <f t="shared" si="8"/>
        <v>0</v>
      </c>
      <c r="L109" s="23"/>
      <c r="M109" s="23"/>
      <c r="N109" s="23"/>
      <c r="O109" s="23"/>
      <c r="P109" s="23"/>
      <c r="Q109" s="23"/>
    </row>
    <row r="110" spans="6:17" ht="0.95" hidden="1" customHeight="1">
      <c r="F110" s="23"/>
      <c r="G110" s="23"/>
      <c r="H110" s="29"/>
      <c r="I110" s="23"/>
      <c r="J110" s="33">
        <v>13</v>
      </c>
      <c r="K110" s="32">
        <f t="shared" si="8"/>
        <v>0</v>
      </c>
      <c r="L110" s="23"/>
      <c r="M110" s="23"/>
      <c r="N110" s="23"/>
      <c r="O110" s="23"/>
      <c r="P110" s="23"/>
      <c r="Q110" s="23"/>
    </row>
    <row r="111" spans="6:17" ht="0.95" hidden="1" customHeight="1">
      <c r="F111" s="23"/>
      <c r="G111" s="23"/>
      <c r="H111" s="29"/>
      <c r="I111" s="23"/>
      <c r="J111" s="33">
        <v>14</v>
      </c>
      <c r="K111" s="32">
        <f t="shared" si="8"/>
        <v>0</v>
      </c>
      <c r="L111" s="23"/>
      <c r="M111" s="23"/>
      <c r="N111" s="23"/>
      <c r="O111" s="23"/>
      <c r="P111" s="23"/>
      <c r="Q111" s="23"/>
    </row>
    <row r="112" spans="6:17" ht="3" hidden="1" customHeight="1">
      <c r="F112" s="23"/>
      <c r="G112" s="23"/>
      <c r="H112" s="23"/>
      <c r="I112" s="23"/>
      <c r="J112" s="33">
        <v>15</v>
      </c>
      <c r="K112" s="32">
        <f t="shared" si="8"/>
        <v>0</v>
      </c>
      <c r="L112" s="23"/>
      <c r="M112" s="23"/>
      <c r="N112" s="23"/>
      <c r="O112" s="23"/>
      <c r="P112" s="23"/>
      <c r="Q112" s="23"/>
    </row>
    <row r="113" spans="6:17" ht="0.95" hidden="1" customHeight="1">
      <c r="F113" s="23"/>
      <c r="G113" s="23"/>
      <c r="H113" s="23"/>
      <c r="I113" s="23"/>
      <c r="J113" s="31" t="s">
        <v>135</v>
      </c>
      <c r="K113" s="30">
        <v>0.05</v>
      </c>
      <c r="L113" s="23"/>
      <c r="M113" s="23"/>
      <c r="N113" s="23"/>
      <c r="O113" s="23"/>
      <c r="P113" s="23"/>
      <c r="Q113" s="23"/>
    </row>
    <row r="114" spans="6:17" ht="0.95" hidden="1" customHeight="1">
      <c r="F114" s="23"/>
      <c r="G114" s="23"/>
      <c r="H114" s="23"/>
      <c r="I114" s="23"/>
      <c r="J114" s="25" t="s">
        <v>134</v>
      </c>
      <c r="K114" s="28">
        <f>AVERAGE(K98:K112)</f>
        <v>0.9556</v>
      </c>
      <c r="L114" s="23"/>
      <c r="M114" s="23"/>
      <c r="N114" s="23"/>
      <c r="O114" s="23"/>
      <c r="P114" s="23"/>
      <c r="Q114" s="23"/>
    </row>
    <row r="115" spans="6:17" ht="0.95" hidden="1" customHeight="1">
      <c r="F115" s="23"/>
      <c r="G115" s="23"/>
      <c r="H115" s="23"/>
      <c r="I115" s="23"/>
      <c r="J115" s="25" t="s">
        <v>25</v>
      </c>
      <c r="K115" s="24">
        <f>_xlfn.STDEV.S(K98:K112)</f>
        <v>1.057810461013017</v>
      </c>
      <c r="L115" s="23"/>
      <c r="M115" s="23"/>
      <c r="N115" s="23"/>
      <c r="O115" s="23"/>
      <c r="P115" s="23"/>
      <c r="Q115" s="23"/>
    </row>
    <row r="116" spans="6:17" ht="0.95" hidden="1" customHeight="1">
      <c r="F116" s="23"/>
      <c r="G116" s="23"/>
      <c r="H116" s="23"/>
      <c r="I116" s="23"/>
      <c r="J116" s="25" t="s">
        <v>133</v>
      </c>
      <c r="K116" s="28">
        <f>MIN(K98:K112)</f>
        <v>0</v>
      </c>
      <c r="L116" s="23"/>
      <c r="M116" s="23"/>
      <c r="N116" s="23"/>
      <c r="O116" s="23"/>
      <c r="P116" s="23"/>
      <c r="Q116" s="23"/>
    </row>
    <row r="117" spans="6:17" ht="0.95" hidden="1" customHeight="1">
      <c r="F117" s="23"/>
      <c r="G117" s="23"/>
      <c r="H117" s="23"/>
      <c r="I117" s="23"/>
      <c r="J117" s="25" t="s">
        <v>132</v>
      </c>
      <c r="K117" s="28">
        <f>MAX(K98:K112)</f>
        <v>2.093</v>
      </c>
      <c r="L117" s="23"/>
      <c r="M117" s="23"/>
      <c r="N117" s="23"/>
      <c r="O117" s="23"/>
      <c r="P117" s="23"/>
      <c r="Q117" s="23"/>
    </row>
    <row r="118" spans="6:17" ht="0.95" hidden="1" customHeight="1">
      <c r="F118" s="23"/>
      <c r="G118" s="23"/>
      <c r="H118" s="23"/>
      <c r="I118" s="23"/>
      <c r="J118" s="25" t="s">
        <v>131</v>
      </c>
      <c r="K118" s="27">
        <f>K114-K116</f>
        <v>0.9556</v>
      </c>
      <c r="L118" s="23"/>
      <c r="M118" s="23"/>
      <c r="N118" s="23"/>
      <c r="O118" s="23"/>
      <c r="P118" s="23"/>
      <c r="Q118" s="23"/>
    </row>
    <row r="119" spans="6:17" ht="0.95" hidden="1" customHeight="1">
      <c r="F119" s="23"/>
      <c r="G119" s="23"/>
      <c r="H119" s="23"/>
      <c r="I119" s="23"/>
      <c r="J119" s="25" t="s">
        <v>130</v>
      </c>
      <c r="K119" s="27">
        <f>K117-K114</f>
        <v>1.1374</v>
      </c>
      <c r="L119" s="23"/>
      <c r="M119" s="23"/>
      <c r="N119" s="23"/>
      <c r="O119" s="23"/>
      <c r="P119" s="23"/>
      <c r="Q119" s="23"/>
    </row>
    <row r="120" spans="6:17" ht="0.95" hidden="1" customHeight="1">
      <c r="F120" s="23"/>
      <c r="G120" s="23"/>
      <c r="H120" s="23"/>
      <c r="I120" s="23"/>
      <c r="J120" s="25" t="s">
        <v>129</v>
      </c>
      <c r="K120" s="24">
        <f>MAX(K118:K119)/K115</f>
        <v>1.0752398864639359</v>
      </c>
      <c r="L120" s="23"/>
      <c r="M120" s="23"/>
      <c r="N120" s="23"/>
      <c r="O120" s="23"/>
      <c r="P120" s="23"/>
      <c r="Q120" s="23"/>
    </row>
    <row r="121" spans="6:17" ht="0.95" hidden="1" customHeight="1">
      <c r="F121" s="23"/>
      <c r="G121" s="23"/>
      <c r="H121" s="23"/>
      <c r="I121" s="23"/>
      <c r="J121" s="25" t="s">
        <v>128</v>
      </c>
      <c r="K121" s="24">
        <f>COUNT(K97:K112)</f>
        <v>15</v>
      </c>
      <c r="L121" s="23"/>
      <c r="M121" s="23"/>
      <c r="N121" s="23"/>
      <c r="O121" s="23"/>
      <c r="P121" s="23"/>
      <c r="Q121" s="23"/>
    </row>
    <row r="122" spans="6:17" ht="0.95" hidden="1" customHeight="1">
      <c r="F122" s="23"/>
      <c r="G122" s="23"/>
      <c r="H122" s="23"/>
      <c r="I122" s="23"/>
      <c r="J122" s="25" t="s">
        <v>124</v>
      </c>
      <c r="K122" s="24">
        <f>K113/K121</f>
        <v>3.3333333333333335E-3</v>
      </c>
      <c r="L122" s="23"/>
      <c r="M122" s="23"/>
      <c r="N122" s="23"/>
      <c r="O122" s="23"/>
      <c r="P122" s="23"/>
      <c r="Q122" s="23"/>
    </row>
    <row r="123" spans="6:17" ht="0.95" hidden="1" customHeight="1">
      <c r="F123" s="23"/>
      <c r="G123" s="23"/>
      <c r="H123" s="23"/>
      <c r="I123" s="23"/>
      <c r="J123" s="25" t="s">
        <v>127</v>
      </c>
      <c r="K123" s="24">
        <f>K121-2</f>
        <v>13</v>
      </c>
      <c r="L123" s="23"/>
      <c r="M123" s="23"/>
      <c r="N123" s="23"/>
      <c r="O123" s="23"/>
      <c r="P123" s="23"/>
      <c r="Q123" s="23"/>
    </row>
    <row r="124" spans="6:17" ht="0.95" hidden="1" customHeight="1">
      <c r="F124" s="23"/>
      <c r="G124" s="23"/>
      <c r="H124" s="23"/>
      <c r="I124" s="23"/>
      <c r="J124" s="25" t="s">
        <v>126</v>
      </c>
      <c r="K124" s="24">
        <f>TINV(K122,K123)</f>
        <v>3.5838393924732448</v>
      </c>
      <c r="L124" s="23"/>
      <c r="M124" s="23"/>
      <c r="N124" s="23"/>
      <c r="O124" s="23"/>
      <c r="P124" s="23"/>
      <c r="Q124" s="23"/>
    </row>
    <row r="125" spans="6:17" ht="0.95" hidden="1" customHeight="1">
      <c r="F125" s="23"/>
      <c r="G125" s="23"/>
      <c r="H125" s="23"/>
      <c r="I125" s="23"/>
      <c r="J125" s="25" t="s">
        <v>125</v>
      </c>
      <c r="K125" s="24">
        <f>(K121-1)*K124/SQRT(K121*(K123+K124^2))</f>
        <v>2.5483077717433442</v>
      </c>
      <c r="L125" s="23"/>
      <c r="M125" s="23"/>
      <c r="N125" s="23"/>
      <c r="O125" s="23"/>
      <c r="P125" s="23"/>
      <c r="Q125" s="23"/>
    </row>
    <row r="126" spans="6:17" ht="0.95" hidden="1" customHeight="1">
      <c r="F126" s="23"/>
      <c r="G126" s="23"/>
      <c r="H126" s="23"/>
      <c r="I126" s="23"/>
      <c r="J126" s="25" t="s">
        <v>124</v>
      </c>
      <c r="K126" s="35" t="str">
        <f>IF(K120&gt;K125,"YES","NO")</f>
        <v>NO</v>
      </c>
      <c r="L126" s="23"/>
      <c r="M126" s="23"/>
      <c r="N126" s="23"/>
      <c r="O126" s="23"/>
      <c r="P126" s="23"/>
      <c r="Q126" s="23"/>
    </row>
    <row r="127" spans="6:17" ht="0.95" hidden="1" customHeight="1">
      <c r="F127" s="23"/>
      <c r="G127" s="23"/>
      <c r="H127" s="23"/>
      <c r="I127" s="23"/>
      <c r="J127" s="23"/>
      <c r="K127" s="23"/>
      <c r="L127" s="23"/>
      <c r="M127" s="23"/>
      <c r="N127" s="23"/>
      <c r="O127" s="23"/>
      <c r="P127" s="23"/>
      <c r="Q127" s="23"/>
    </row>
    <row r="128" spans="6:17" ht="0.95" hidden="1" customHeight="1">
      <c r="F128" s="23"/>
      <c r="G128" s="23"/>
      <c r="H128" s="23"/>
      <c r="I128" s="23"/>
      <c r="J128" s="34" t="s">
        <v>137</v>
      </c>
      <c r="K128" s="34" t="s">
        <v>136</v>
      </c>
      <c r="L128" s="23"/>
      <c r="M128" s="23"/>
      <c r="N128" s="23"/>
      <c r="O128" s="23"/>
      <c r="P128" s="23"/>
      <c r="Q128" s="23"/>
    </row>
    <row r="129" spans="6:17" ht="0.95" hidden="1" customHeight="1">
      <c r="F129" s="23"/>
      <c r="G129" s="23"/>
      <c r="H129" s="23"/>
      <c r="I129" s="23"/>
      <c r="J129" s="33">
        <v>1</v>
      </c>
      <c r="K129" s="32">
        <v>1.3660000000000001</v>
      </c>
      <c r="L129" s="23"/>
      <c r="M129" s="23"/>
      <c r="N129" s="23"/>
      <c r="O129" s="23"/>
      <c r="P129" s="23"/>
      <c r="Q129" s="23"/>
    </row>
    <row r="130" spans="6:17" ht="0.95" hidden="1" customHeight="1">
      <c r="F130" s="23"/>
      <c r="G130" s="23"/>
      <c r="H130" s="26"/>
      <c r="I130" s="23"/>
      <c r="J130" s="33">
        <v>2</v>
      </c>
      <c r="K130" s="32">
        <v>1.355</v>
      </c>
      <c r="L130" s="23"/>
      <c r="M130" s="23"/>
      <c r="N130" s="23"/>
      <c r="O130" s="23"/>
      <c r="P130" s="23"/>
      <c r="Q130" s="23"/>
    </row>
    <row r="131" spans="6:17" ht="12" hidden="1" customHeight="1">
      <c r="F131" s="23"/>
      <c r="G131" s="23"/>
      <c r="H131" s="29"/>
      <c r="I131" s="23"/>
      <c r="J131" s="33">
        <v>3</v>
      </c>
      <c r="K131" s="32">
        <v>1.345</v>
      </c>
      <c r="L131" s="23"/>
      <c r="M131" s="23"/>
      <c r="N131" s="23"/>
      <c r="O131" s="23"/>
      <c r="P131" s="23"/>
      <c r="Q131" s="23"/>
    </row>
    <row r="132" spans="6:17" ht="0.95" hidden="1" customHeight="1">
      <c r="F132" s="23"/>
      <c r="G132" s="23"/>
      <c r="H132" s="29"/>
      <c r="I132" s="23"/>
      <c r="J132" s="33">
        <v>4</v>
      </c>
      <c r="K132" s="32">
        <v>1.345</v>
      </c>
      <c r="L132" s="23"/>
      <c r="M132" s="23"/>
      <c r="N132" s="23"/>
      <c r="O132" s="23"/>
      <c r="P132" s="23"/>
      <c r="Q132" s="23"/>
    </row>
    <row r="133" spans="6:17" ht="14.1" hidden="1" customHeight="1">
      <c r="F133" s="23"/>
      <c r="G133" s="23"/>
      <c r="H133" s="29"/>
      <c r="I133" s="23"/>
      <c r="J133" s="33">
        <v>5</v>
      </c>
      <c r="K133" s="32">
        <v>1.3420000000000001</v>
      </c>
      <c r="L133" s="23"/>
      <c r="M133" s="23"/>
      <c r="N133" s="23"/>
      <c r="O133" s="23"/>
      <c r="P133" s="23"/>
      <c r="Q133" s="23"/>
    </row>
    <row r="134" spans="6:17" ht="0.95" hidden="1" customHeight="1">
      <c r="F134" s="23"/>
      <c r="G134" s="23"/>
      <c r="H134" s="29"/>
      <c r="I134" s="23"/>
      <c r="J134" s="33">
        <v>6</v>
      </c>
      <c r="K134" s="32">
        <v>1.341</v>
      </c>
      <c r="L134" s="23"/>
      <c r="M134" s="23"/>
      <c r="N134" s="23"/>
      <c r="O134" s="23"/>
      <c r="P134" s="23"/>
      <c r="Q134" s="23"/>
    </row>
    <row r="135" spans="6:17" ht="0.95" hidden="1" customHeight="1">
      <c r="F135" s="23"/>
      <c r="G135" s="23"/>
      <c r="H135" s="29"/>
      <c r="I135" s="23"/>
      <c r="J135" s="33">
        <v>7</v>
      </c>
      <c r="K135" s="32">
        <v>1.341</v>
      </c>
      <c r="L135" s="23"/>
      <c r="M135" s="23"/>
      <c r="N135" s="23"/>
      <c r="O135" s="23"/>
      <c r="P135" s="23"/>
      <c r="Q135" s="23"/>
    </row>
    <row r="136" spans="6:17" ht="0.95" hidden="1" customHeight="1">
      <c r="F136" s="23"/>
      <c r="G136" s="23"/>
      <c r="H136" s="29"/>
      <c r="I136" s="23"/>
      <c r="J136" s="33">
        <v>8</v>
      </c>
      <c r="K136" s="32">
        <v>1.34</v>
      </c>
      <c r="L136" s="23"/>
      <c r="M136" s="23"/>
      <c r="N136" s="23"/>
      <c r="O136" s="23"/>
      <c r="P136" s="23"/>
      <c r="Q136" s="23"/>
    </row>
    <row r="137" spans="6:17" ht="0.95" hidden="1" customHeight="1">
      <c r="F137" s="23"/>
      <c r="G137" s="23"/>
      <c r="H137" s="29"/>
      <c r="I137" s="23"/>
      <c r="J137" s="33">
        <v>9</v>
      </c>
      <c r="K137" s="32">
        <v>1.325</v>
      </c>
      <c r="L137" s="23"/>
      <c r="M137" s="23"/>
      <c r="N137" s="23"/>
      <c r="O137" s="23"/>
      <c r="P137" s="23"/>
      <c r="Q137" s="23"/>
    </row>
    <row r="138" spans="6:17" ht="0.95" hidden="1" customHeight="1">
      <c r="F138" s="23"/>
      <c r="G138" s="23"/>
      <c r="H138" s="29"/>
      <c r="I138" s="23"/>
      <c r="J138" s="33">
        <v>10</v>
      </c>
      <c r="K138" s="32">
        <v>1.321</v>
      </c>
      <c r="L138" s="23"/>
      <c r="M138" s="23"/>
      <c r="N138" s="23"/>
      <c r="O138" s="23"/>
      <c r="P138" s="23"/>
      <c r="Q138" s="23"/>
    </row>
    <row r="139" spans="6:17" ht="0.95" hidden="1" customHeight="1">
      <c r="F139" s="23"/>
      <c r="G139" s="23"/>
      <c r="H139" s="29"/>
      <c r="I139" s="23"/>
      <c r="J139" s="33">
        <v>11</v>
      </c>
      <c r="K139" s="32">
        <v>1.3</v>
      </c>
      <c r="L139" s="23"/>
      <c r="M139" s="23"/>
      <c r="N139" s="23"/>
      <c r="O139" s="23"/>
      <c r="P139" s="23"/>
      <c r="Q139" s="23"/>
    </row>
    <row r="140" spans="6:17" ht="0.95" hidden="1" customHeight="1">
      <c r="F140" s="23"/>
      <c r="G140" s="23"/>
      <c r="H140" s="29"/>
      <c r="I140" s="23"/>
      <c r="J140" s="33">
        <v>12</v>
      </c>
      <c r="K140" s="32">
        <v>1.2549999999999999</v>
      </c>
      <c r="L140" s="23"/>
      <c r="M140" s="23"/>
      <c r="N140" s="23"/>
      <c r="O140" s="23"/>
      <c r="P140" s="23"/>
      <c r="Q140" s="23"/>
    </row>
    <row r="141" spans="6:17" ht="0.95" hidden="1" customHeight="1">
      <c r="F141" s="23"/>
      <c r="G141" s="23"/>
      <c r="H141" s="29"/>
      <c r="I141" s="23"/>
      <c r="J141" s="33">
        <v>13</v>
      </c>
      <c r="K141" s="32">
        <v>1.234</v>
      </c>
      <c r="L141" s="23"/>
      <c r="M141" s="23"/>
      <c r="N141" s="23"/>
      <c r="O141" s="23"/>
      <c r="P141" s="23"/>
      <c r="Q141" s="23"/>
    </row>
    <row r="142" spans="6:17" ht="0.95" hidden="1" customHeight="1">
      <c r="F142" s="23"/>
      <c r="G142" s="23"/>
      <c r="H142" s="29"/>
      <c r="I142" s="23"/>
      <c r="J142" s="33">
        <v>14</v>
      </c>
      <c r="K142" s="32">
        <v>1.2</v>
      </c>
      <c r="L142" s="23"/>
      <c r="M142" s="23"/>
      <c r="N142" s="23"/>
      <c r="O142" s="23"/>
      <c r="P142" s="23"/>
      <c r="Q142" s="23"/>
    </row>
    <row r="143" spans="6:17" ht="0.95" hidden="1" customHeight="1">
      <c r="F143" s="23"/>
      <c r="G143" s="23"/>
      <c r="H143" s="29"/>
      <c r="I143" s="23"/>
      <c r="J143" s="31" t="s">
        <v>135</v>
      </c>
      <c r="K143" s="30">
        <v>0.05</v>
      </c>
      <c r="L143" s="23"/>
      <c r="M143" s="23"/>
      <c r="N143" s="23"/>
      <c r="O143" s="23"/>
      <c r="P143" s="23"/>
      <c r="Q143" s="23"/>
    </row>
    <row r="144" spans="6:17" ht="0.95" hidden="1" customHeight="1">
      <c r="F144" s="23"/>
      <c r="G144" s="23"/>
      <c r="H144" s="29"/>
      <c r="I144" s="23"/>
      <c r="J144" s="25" t="s">
        <v>134</v>
      </c>
      <c r="K144" s="28">
        <f>AVERAGE(K129:K142)</f>
        <v>1.3149999999999999</v>
      </c>
      <c r="L144" s="23"/>
      <c r="M144" s="23"/>
      <c r="N144" s="23"/>
      <c r="O144" s="23"/>
      <c r="P144" s="23"/>
      <c r="Q144" s="23"/>
    </row>
    <row r="145" spans="6:17" ht="0.95" hidden="1" customHeight="1">
      <c r="F145" s="23"/>
      <c r="G145" s="23"/>
      <c r="H145" s="26"/>
      <c r="I145" s="23"/>
      <c r="J145" s="25" t="s">
        <v>25</v>
      </c>
      <c r="K145" s="24">
        <f>_xlfn.STDEV.S(K129:K142)</f>
        <v>4.9964602855036691E-2</v>
      </c>
      <c r="L145" s="23"/>
      <c r="M145" s="23"/>
      <c r="N145" s="23"/>
      <c r="O145" s="23"/>
      <c r="P145" s="23"/>
      <c r="Q145" s="23"/>
    </row>
    <row r="146" spans="6:17" ht="2.1" hidden="1" customHeight="1">
      <c r="F146" s="23"/>
      <c r="G146" s="23"/>
      <c r="H146" s="26"/>
      <c r="I146" s="23"/>
      <c r="J146" s="25" t="s">
        <v>133</v>
      </c>
      <c r="K146" s="28">
        <f>MIN(K129:K142)</f>
        <v>1.2</v>
      </c>
      <c r="L146" s="23"/>
      <c r="M146" s="23"/>
      <c r="N146" s="23"/>
      <c r="O146" s="23"/>
      <c r="P146" s="23"/>
      <c r="Q146" s="23"/>
    </row>
    <row r="147" spans="6:17" ht="0.95" hidden="1" customHeight="1">
      <c r="F147" s="23"/>
      <c r="G147" s="23"/>
      <c r="H147" s="26"/>
      <c r="I147" s="23"/>
      <c r="J147" s="25" t="s">
        <v>132</v>
      </c>
      <c r="K147" s="28">
        <f>MAX(K129:K142)</f>
        <v>1.3660000000000001</v>
      </c>
      <c r="L147" s="23"/>
      <c r="M147" s="23"/>
      <c r="N147" s="23"/>
      <c r="O147" s="23"/>
      <c r="P147" s="23"/>
      <c r="Q147" s="23"/>
    </row>
    <row r="148" spans="6:17" ht="0.95" hidden="1" customHeight="1">
      <c r="F148" s="23"/>
      <c r="G148" s="23"/>
      <c r="H148" s="26"/>
      <c r="I148" s="23"/>
      <c r="J148" s="25" t="s">
        <v>131</v>
      </c>
      <c r="K148" s="27">
        <f>K144-K146</f>
        <v>0.11499999999999999</v>
      </c>
      <c r="L148" s="23"/>
      <c r="M148" s="23"/>
      <c r="N148" s="23"/>
      <c r="O148" s="23"/>
      <c r="P148" s="23"/>
      <c r="Q148" s="23"/>
    </row>
    <row r="149" spans="6:17" ht="0.95" hidden="1" customHeight="1">
      <c r="F149" s="23"/>
      <c r="G149" s="23"/>
      <c r="H149" s="26"/>
      <c r="I149" s="23"/>
      <c r="J149" s="25" t="s">
        <v>130</v>
      </c>
      <c r="K149" s="27">
        <f>K147-K144</f>
        <v>5.1000000000000156E-2</v>
      </c>
      <c r="L149" s="23"/>
      <c r="M149" s="23"/>
      <c r="N149" s="23"/>
      <c r="O149" s="23"/>
      <c r="P149" s="23"/>
      <c r="Q149" s="23"/>
    </row>
    <row r="150" spans="6:17" ht="0.95" hidden="1" customHeight="1">
      <c r="F150" s="23"/>
      <c r="G150" s="23"/>
      <c r="H150" s="26"/>
      <c r="I150" s="23"/>
      <c r="J150" s="25" t="s">
        <v>129</v>
      </c>
      <c r="K150" s="24">
        <f>MAX(K148:K149)/K145</f>
        <v>2.3016294222061928</v>
      </c>
      <c r="L150" s="23"/>
      <c r="M150" s="23"/>
      <c r="N150" s="23"/>
      <c r="O150" s="23"/>
      <c r="P150" s="23"/>
      <c r="Q150" s="23"/>
    </row>
    <row r="151" spans="6:17" ht="0.95" hidden="1" customHeight="1">
      <c r="F151" s="23"/>
      <c r="G151" s="23"/>
      <c r="H151" s="26"/>
      <c r="I151" s="23"/>
      <c r="J151" s="25" t="s">
        <v>128</v>
      </c>
      <c r="K151" s="24">
        <f>COUNT(F124:F139)</f>
        <v>0</v>
      </c>
      <c r="L151" s="23"/>
      <c r="M151" s="23"/>
      <c r="N151" s="23"/>
      <c r="O151" s="23"/>
      <c r="P151" s="23"/>
      <c r="Q151" s="23"/>
    </row>
    <row r="152" spans="6:17" ht="0.95" hidden="1" customHeight="1">
      <c r="F152" s="23"/>
      <c r="G152" s="23"/>
      <c r="H152" s="26"/>
      <c r="I152" s="23"/>
      <c r="J152" s="25" t="s">
        <v>124</v>
      </c>
      <c r="K152" s="24" t="e">
        <f>K143/K151</f>
        <v>#DIV/0!</v>
      </c>
      <c r="L152" s="23"/>
      <c r="M152" s="23"/>
      <c r="N152" s="23"/>
      <c r="O152" s="23"/>
      <c r="P152" s="23"/>
      <c r="Q152" s="23"/>
    </row>
    <row r="153" spans="6:17" ht="0.95" hidden="1" customHeight="1">
      <c r="F153" s="23"/>
      <c r="G153" s="23"/>
      <c r="H153" s="26"/>
      <c r="I153" s="23"/>
      <c r="J153" s="25" t="s">
        <v>127</v>
      </c>
      <c r="K153" s="24">
        <f>K151-2</f>
        <v>-2</v>
      </c>
      <c r="L153" s="23"/>
      <c r="M153" s="23"/>
      <c r="N153" s="23"/>
      <c r="O153" s="23"/>
      <c r="P153" s="23"/>
      <c r="Q153" s="23"/>
    </row>
    <row r="154" spans="6:17" ht="0.95" hidden="1" customHeight="1">
      <c r="F154" s="23"/>
      <c r="G154" s="23"/>
      <c r="H154" s="26"/>
      <c r="I154" s="23"/>
      <c r="J154" s="25" t="s">
        <v>126</v>
      </c>
      <c r="K154" s="24" t="e">
        <f>TINV(K152,K153)</f>
        <v>#DIV/0!</v>
      </c>
      <c r="L154" s="23"/>
      <c r="M154" s="23"/>
      <c r="N154" s="23"/>
      <c r="O154" s="23"/>
      <c r="P154" s="23"/>
      <c r="Q154" s="23"/>
    </row>
    <row r="155" spans="6:17" ht="0.95" hidden="1" customHeight="1">
      <c r="F155" s="23"/>
      <c r="G155" s="23"/>
      <c r="H155" s="26"/>
      <c r="I155" s="23"/>
      <c r="J155" s="25" t="s">
        <v>125</v>
      </c>
      <c r="K155" s="24" t="e">
        <f>(K151-1)*K154/SQRT(K151*(K153+K154^2))</f>
        <v>#DIV/0!</v>
      </c>
      <c r="L155" s="23"/>
      <c r="M155" s="23"/>
      <c r="N155" s="23"/>
      <c r="O155" s="23"/>
      <c r="P155" s="23"/>
      <c r="Q155" s="23"/>
    </row>
    <row r="156" spans="6:17" ht="0.95" hidden="1" customHeight="1">
      <c r="F156" s="23"/>
      <c r="G156" s="23"/>
      <c r="H156" s="26"/>
      <c r="I156" s="23"/>
      <c r="J156" s="25" t="s">
        <v>124</v>
      </c>
      <c r="K156" s="24" t="e">
        <f>IF(K150&gt;K155,"YES","NO")</f>
        <v>#DIV/0!</v>
      </c>
      <c r="L156" s="23"/>
      <c r="M156" s="23"/>
      <c r="N156" s="23"/>
      <c r="O156" s="23"/>
      <c r="P156" s="23"/>
      <c r="Q156" s="23"/>
    </row>
    <row r="157" spans="6:17" ht="3" hidden="1" customHeight="1">
      <c r="F157" s="23"/>
      <c r="G157" s="23"/>
      <c r="H157" s="23"/>
      <c r="I157" s="23"/>
      <c r="J157" s="23"/>
      <c r="K157" s="23"/>
      <c r="L157" s="23"/>
      <c r="M157" s="23"/>
      <c r="N157" s="23"/>
      <c r="O157" s="23"/>
      <c r="P157" s="23"/>
      <c r="Q157" s="23"/>
    </row>
    <row r="158" spans="6:17" ht="0.95" hidden="1" customHeight="1">
      <c r="F158" s="23"/>
      <c r="G158" s="23"/>
      <c r="H158" s="23"/>
      <c r="I158" s="23"/>
      <c r="J158" s="23"/>
      <c r="K158" s="23"/>
      <c r="L158" s="23"/>
      <c r="M158" s="23"/>
      <c r="N158" s="23"/>
      <c r="O158" s="23"/>
      <c r="P158" s="23"/>
      <c r="Q158" s="23"/>
    </row>
    <row r="159" spans="6:17" ht="20.100000000000001" customHeight="1">
      <c r="F159" s="23"/>
      <c r="G159" s="23"/>
      <c r="H159" s="23"/>
      <c r="I159" s="23"/>
      <c r="J159" s="23"/>
      <c r="K159" s="23"/>
      <c r="L159" s="23"/>
      <c r="M159" s="23"/>
      <c r="N159" s="23"/>
      <c r="O159" s="23"/>
      <c r="P159" s="23"/>
      <c r="Q159" s="23"/>
    </row>
    <row r="160" spans="6:17">
      <c r="F160" s="23"/>
      <c r="G160" s="23"/>
      <c r="H160" s="23"/>
      <c r="I160" s="23"/>
      <c r="J160" s="23"/>
      <c r="K160" s="23"/>
      <c r="L160" s="23"/>
      <c r="M160" s="23"/>
      <c r="N160" s="23"/>
      <c r="O160" s="23"/>
      <c r="P160" s="23"/>
      <c r="Q160" s="23"/>
    </row>
    <row r="161" spans="6:17">
      <c r="F161" s="23"/>
      <c r="G161" s="23"/>
      <c r="H161" s="23"/>
      <c r="I161" s="23"/>
      <c r="J161" s="23"/>
      <c r="K161" s="23"/>
      <c r="L161" s="23"/>
      <c r="M161" s="23"/>
      <c r="N161" s="23"/>
      <c r="O161" s="23"/>
      <c r="P161" s="23"/>
      <c r="Q161" s="23"/>
    </row>
    <row r="162" spans="6:17">
      <c r="F162" s="23"/>
      <c r="G162" s="23"/>
      <c r="H162" s="23"/>
      <c r="I162" s="23"/>
      <c r="J162" s="23"/>
      <c r="K162" s="23"/>
      <c r="L162" s="23"/>
      <c r="M162" s="23"/>
      <c r="N162" s="23"/>
      <c r="O162" s="23"/>
      <c r="P162" s="23"/>
      <c r="Q162" s="23"/>
    </row>
    <row r="163" spans="6:17">
      <c r="F163" s="23"/>
      <c r="G163" s="23"/>
      <c r="H163" s="23"/>
      <c r="I163" s="23"/>
      <c r="J163" s="23"/>
      <c r="K163" s="23"/>
      <c r="L163" s="23"/>
      <c r="M163" s="23"/>
      <c r="N163" s="23"/>
      <c r="O163" s="23"/>
      <c r="P163" s="23"/>
      <c r="Q163" s="23"/>
    </row>
    <row r="164" spans="6:17">
      <c r="F164" s="23"/>
      <c r="G164" s="23"/>
      <c r="H164" s="23"/>
      <c r="I164" s="23"/>
      <c r="J164" s="23"/>
      <c r="K164" s="23"/>
      <c r="L164" s="23"/>
      <c r="M164" s="23"/>
      <c r="N164" s="23"/>
      <c r="O164" s="23"/>
      <c r="P164" s="23"/>
      <c r="Q164" s="23"/>
    </row>
    <row r="165" spans="6:17">
      <c r="F165" s="23"/>
      <c r="G165" s="23"/>
      <c r="H165" s="23"/>
      <c r="I165" s="23"/>
      <c r="J165" s="23"/>
      <c r="K165" s="23"/>
      <c r="L165" s="23"/>
      <c r="M165" s="23"/>
      <c r="N165" s="23"/>
      <c r="O165" s="23"/>
      <c r="P165" s="23"/>
      <c r="Q165" s="23"/>
    </row>
    <row r="166" spans="6:17">
      <c r="F166" s="23"/>
      <c r="G166" s="23"/>
      <c r="H166" s="23"/>
      <c r="I166" s="23"/>
      <c r="J166" s="23"/>
      <c r="K166" s="23"/>
      <c r="L166" s="23"/>
      <c r="M166" s="23"/>
      <c r="N166" s="23"/>
      <c r="O166" s="23"/>
      <c r="P166" s="23"/>
      <c r="Q166" s="23"/>
    </row>
    <row r="167" spans="6:17">
      <c r="F167" s="23"/>
      <c r="G167" s="23"/>
      <c r="H167" s="23"/>
      <c r="I167" s="23"/>
      <c r="J167" s="23"/>
      <c r="K167" s="23"/>
      <c r="L167" s="23"/>
      <c r="M167" s="23"/>
      <c r="N167" s="23"/>
      <c r="O167" s="23"/>
      <c r="P167" s="23"/>
      <c r="Q167" s="23"/>
    </row>
    <row r="168" spans="6:17">
      <c r="F168" s="23"/>
      <c r="G168" s="23"/>
      <c r="H168" s="23"/>
      <c r="I168" s="23"/>
      <c r="J168" s="23"/>
      <c r="K168" s="23"/>
      <c r="L168" s="23"/>
      <c r="M168" s="23"/>
      <c r="N168" s="23"/>
      <c r="O168" s="23"/>
      <c r="P168" s="23"/>
      <c r="Q168" s="23"/>
    </row>
    <row r="169" spans="6:17">
      <c r="F169" s="23"/>
      <c r="G169" s="23"/>
      <c r="H169" s="23"/>
      <c r="I169" s="23"/>
      <c r="J169" s="23"/>
      <c r="K169" s="23"/>
      <c r="L169" s="23"/>
      <c r="M169" s="23"/>
      <c r="N169" s="23"/>
      <c r="O169" s="23"/>
      <c r="P169" s="23"/>
      <c r="Q169" s="23"/>
    </row>
  </sheetData>
  <sheetProtection algorithmName="SHA-512" hashValue="SLyHISxu/Sx7pmIxJv3oh8mXgrX1Suz1f0fill3sJMz6BoagN1Q4aDPOR6H9yFI1t8ZD8RUdJIXWimqdnlDFcw==" saltValue="45uHGmLP3SgrF2KJWI4CUQ==" spinCount="100000" sheet="1" selectLockedCells="1"/>
  <mergeCells count="28">
    <mergeCell ref="H3:H21"/>
    <mergeCell ref="S2:T2"/>
    <mergeCell ref="R3:R25"/>
    <mergeCell ref="S4:U4"/>
    <mergeCell ref="N2:P2"/>
    <mergeCell ref="I2:J2"/>
    <mergeCell ref="H24:H56"/>
    <mergeCell ref="I38:J38"/>
    <mergeCell ref="I39:J40"/>
    <mergeCell ref="I54:J54"/>
    <mergeCell ref="N31:O31"/>
    <mergeCell ref="N32:O32"/>
    <mergeCell ref="A1:A35"/>
    <mergeCell ref="N25:O25"/>
    <mergeCell ref="E2:F3"/>
    <mergeCell ref="M3:M36"/>
    <mergeCell ref="I32:J32"/>
    <mergeCell ref="N34:O34"/>
    <mergeCell ref="N36:O36"/>
    <mergeCell ref="B26:F29"/>
    <mergeCell ref="N26:P26"/>
    <mergeCell ref="N28:P28"/>
    <mergeCell ref="B2:C17"/>
    <mergeCell ref="B18:C24"/>
    <mergeCell ref="N33:P33"/>
    <mergeCell ref="N27:O27"/>
    <mergeCell ref="N29:O29"/>
    <mergeCell ref="N30:O30"/>
  </mergeCells>
  <conditionalFormatting sqref="J41 J43">
    <cfRule type="expression" dxfId="1" priority="2">
      <formula>#REF!=1</formula>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iconSet" priority="3" id="{AF72743B-A7D0-4AC0-9922-969B2E85D67C}">
            <x14:iconSet custom="1">
              <x14:cfvo type="percent">
                <xm:f>0</xm:f>
              </x14:cfvo>
              <x14:cfvo type="formula" gte="0">
                <xm:f>2</xm:f>
              </x14:cfvo>
              <x14:cfvo type="formula">
                <xm:f>17</xm:f>
              </x14:cfvo>
              <x14:cfIcon iconSet="4RedToBlack" iconId="3"/>
              <x14:cfIcon iconSet="NoIcons" iconId="0"/>
              <x14:cfIcon iconSet="NoIcons" iconId="0"/>
            </x14:iconSet>
          </x14:cfRule>
          <xm:sqref>K3:K19</xm:sqref>
        </x14:conditionalFormatting>
        <x14:conditionalFormatting xmlns:xm="http://schemas.microsoft.com/office/excel/2006/main">
          <x14:cfRule type="iconSet" priority="1" id="{244315EA-5E39-462B-A837-834B1846C76E}">
            <x14:iconSet custom="1">
              <x14:cfvo type="percent">
                <xm:f>0</xm:f>
              </x14:cfvo>
              <x14:cfvo type="formula" gte="0">
                <xm:f>2</xm:f>
              </x14:cfvo>
              <x14:cfvo type="formula">
                <xm:f>17</xm:f>
              </x14:cfvo>
              <x14:cfIcon iconSet="4RedToBlack" iconId="3"/>
              <x14:cfIcon iconSet="NoIcons" iconId="0"/>
              <x14:cfIcon iconSet="NoIcons" iconId="0"/>
            </x14:iconSet>
          </x14:cfRule>
          <xm:sqref>K42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2A5D-E263-47C8-8CD5-5A8E7A9A2565}">
  <dimension ref="A1:V169"/>
  <sheetViews>
    <sheetView topLeftCell="M23" zoomScale="90" zoomScaleNormal="90" workbookViewId="0">
      <selection activeCell="J11" sqref="J11"/>
    </sheetView>
  </sheetViews>
  <sheetFormatPr defaultColWidth="12" defaultRowHeight="15.75"/>
  <cols>
    <col min="1" max="2" width="12" style="22"/>
    <col min="3" max="3" width="65.85546875" style="22" customWidth="1"/>
    <col min="4" max="4" width="1.5703125" style="22" customWidth="1"/>
    <col min="5" max="5" width="13.140625" style="22" customWidth="1"/>
    <col min="6" max="6" width="16.7109375" style="22" customWidth="1"/>
    <col min="7" max="7" width="3.28515625" style="22" customWidth="1"/>
    <col min="8" max="8" width="78.5703125" style="22" customWidth="1"/>
    <col min="9" max="9" width="40.42578125" style="22" customWidth="1"/>
    <col min="10" max="10" width="21.85546875" style="22" customWidth="1"/>
    <col min="11" max="11" width="9.5703125" style="22" customWidth="1"/>
    <col min="12" max="12" width="0.42578125" style="22" hidden="1" customWidth="1"/>
    <col min="13" max="13" width="53.42578125" style="22" customWidth="1"/>
    <col min="14" max="14" width="12.140625" style="22" customWidth="1"/>
    <col min="15" max="15" width="42" style="22" customWidth="1"/>
    <col min="16" max="16" width="28.42578125" style="22" customWidth="1"/>
    <col min="17" max="17" width="4.140625" style="22" customWidth="1"/>
    <col min="18" max="18" width="36.5703125" style="22" customWidth="1"/>
    <col min="19" max="19" width="21.42578125" style="22" customWidth="1"/>
    <col min="20" max="20" width="23.85546875" style="22" customWidth="1"/>
    <col min="21" max="21" width="24.5703125" style="22" customWidth="1"/>
    <col min="22" max="16384" width="12" style="22"/>
  </cols>
  <sheetData>
    <row r="1" spans="1:21" ht="21.95" customHeight="1" thickBot="1">
      <c r="A1" s="231" t="s">
        <v>216</v>
      </c>
      <c r="B1" s="189"/>
      <c r="C1" s="189"/>
      <c r="E1" s="122"/>
      <c r="F1" s="122"/>
      <c r="M1" s="122"/>
      <c r="N1" s="122"/>
      <c r="O1" s="122"/>
      <c r="P1" s="122"/>
    </row>
    <row r="2" spans="1:21" ht="21.95" customHeight="1" thickTop="1" thickBot="1">
      <c r="A2" s="231"/>
      <c r="B2" s="242" t="s">
        <v>215</v>
      </c>
      <c r="C2" s="242"/>
      <c r="E2" s="234" t="s">
        <v>214</v>
      </c>
      <c r="F2" s="235"/>
      <c r="G2" s="135"/>
      <c r="H2" s="188" t="s">
        <v>213</v>
      </c>
      <c r="I2" s="229" t="s">
        <v>212</v>
      </c>
      <c r="J2" s="230"/>
      <c r="K2" s="187"/>
      <c r="L2" s="135"/>
      <c r="M2" s="186" t="s">
        <v>211</v>
      </c>
      <c r="N2" s="226" t="s">
        <v>210</v>
      </c>
      <c r="O2" s="227"/>
      <c r="P2" s="228"/>
      <c r="R2" s="185" t="s">
        <v>209</v>
      </c>
      <c r="S2" s="219" t="s">
        <v>208</v>
      </c>
      <c r="T2" s="220"/>
      <c r="U2" s="184">
        <f>IF(P34=0,"",P34)</f>
        <v>64.06</v>
      </c>
    </row>
    <row r="3" spans="1:21" ht="21.95" customHeight="1" thickTop="1" thickBot="1">
      <c r="A3" s="231"/>
      <c r="B3" s="242"/>
      <c r="C3" s="242"/>
      <c r="D3" s="135"/>
      <c r="E3" s="236"/>
      <c r="F3" s="237"/>
      <c r="H3" s="245" t="s">
        <v>207</v>
      </c>
      <c r="I3" s="183" t="s">
        <v>206</v>
      </c>
      <c r="J3" s="182" t="s">
        <v>205</v>
      </c>
      <c r="K3" s="181"/>
      <c r="L3" s="180"/>
      <c r="M3" s="238" t="s">
        <v>204</v>
      </c>
      <c r="N3" s="179" t="s">
        <v>203</v>
      </c>
      <c r="O3" s="171" t="s">
        <v>53</v>
      </c>
      <c r="P3" s="178" t="s">
        <v>202</v>
      </c>
      <c r="R3" s="221" t="s">
        <v>201</v>
      </c>
      <c r="S3" s="121"/>
      <c r="T3" s="121"/>
      <c r="U3" s="65"/>
    </row>
    <row r="4" spans="1:21" ht="21.95" customHeight="1" thickTop="1">
      <c r="A4" s="231"/>
      <c r="B4" s="242"/>
      <c r="C4" s="242"/>
      <c r="D4" s="135"/>
      <c r="E4" s="177" t="s">
        <v>200</v>
      </c>
      <c r="F4" s="176" t="s">
        <v>53</v>
      </c>
      <c r="H4" s="245"/>
      <c r="I4" s="157">
        <v>1</v>
      </c>
      <c r="J4" s="150">
        <v>2.2400000000000002</v>
      </c>
      <c r="K4" s="84">
        <f t="shared" ref="K4:K19" si="0" xml:space="preserve"> IFERROR(_xlfn.RANK.EQ(L4, $L$4:$L$19),"")</f>
        <v>13</v>
      </c>
      <c r="L4" s="173">
        <f t="shared" ref="L4:L19" si="1">ABS($J$45-J4)</f>
        <v>6.6249999999996589E-3</v>
      </c>
      <c r="M4" s="238"/>
      <c r="N4" s="175">
        <v>1</v>
      </c>
      <c r="O4" s="120" t="str">
        <f t="shared" ref="O4:O23" si="2">IF(F5=0,"",F5)</f>
        <v>B21</v>
      </c>
      <c r="P4" s="136">
        <v>71.95</v>
      </c>
      <c r="R4" s="221"/>
      <c r="S4" s="223" t="s">
        <v>199</v>
      </c>
      <c r="T4" s="224"/>
      <c r="U4" s="225"/>
    </row>
    <row r="5" spans="1:21" ht="21.95" customHeight="1">
      <c r="A5" s="231"/>
      <c r="B5" s="242"/>
      <c r="C5" s="242"/>
      <c r="D5" s="135"/>
      <c r="E5" s="174">
        <v>1</v>
      </c>
      <c r="F5" s="133" t="s">
        <v>61</v>
      </c>
      <c r="H5" s="245"/>
      <c r="I5" s="156">
        <v>2</v>
      </c>
      <c r="J5" s="155">
        <v>2.2519999999999998</v>
      </c>
      <c r="K5" s="84">
        <f t="shared" si="0"/>
        <v>14</v>
      </c>
      <c r="L5" s="173">
        <f t="shared" si="1"/>
        <v>5.3749999999999076E-3</v>
      </c>
      <c r="M5" s="238"/>
      <c r="N5" s="144">
        <v>2</v>
      </c>
      <c r="O5" s="127" t="str">
        <f t="shared" si="2"/>
        <v>B23</v>
      </c>
      <c r="P5" s="128">
        <v>57.85</v>
      </c>
      <c r="R5" s="221"/>
      <c r="S5" s="172" t="s">
        <v>198</v>
      </c>
      <c r="T5" s="171" t="s">
        <v>197</v>
      </c>
      <c r="U5" s="170" t="s">
        <v>196</v>
      </c>
    </row>
    <row r="6" spans="1:21" ht="21.95" customHeight="1">
      <c r="A6" s="231"/>
      <c r="B6" s="242"/>
      <c r="C6" s="242"/>
      <c r="D6" s="135"/>
      <c r="E6" s="169">
        <v>2</v>
      </c>
      <c r="F6" s="139" t="s">
        <v>65</v>
      </c>
      <c r="H6" s="245"/>
      <c r="I6" s="157">
        <v>3</v>
      </c>
      <c r="J6" s="150">
        <v>2.2589999999999999</v>
      </c>
      <c r="K6" s="84">
        <f t="shared" si="0"/>
        <v>11</v>
      </c>
      <c r="L6" s="71">
        <f t="shared" si="1"/>
        <v>1.2375000000000025E-2</v>
      </c>
      <c r="M6" s="238"/>
      <c r="N6" s="137">
        <v>3</v>
      </c>
      <c r="O6" s="120" t="str">
        <f t="shared" si="2"/>
        <v>B24</v>
      </c>
      <c r="P6" s="136">
        <v>58.42</v>
      </c>
      <c r="R6" s="221"/>
      <c r="S6" s="143" t="str">
        <f t="shared" ref="S6:S25" si="3">IF(F5=0,"",F5)</f>
        <v>B21</v>
      </c>
      <c r="T6" s="159">
        <f t="shared" ref="T6:T25" si="4">IF(P4=0,"",P4)</f>
        <v>71.95</v>
      </c>
      <c r="U6" s="118">
        <f t="shared" ref="U6:U25" si="5">IFERROR(($U$2*2500)/T6,"")</f>
        <v>2225.8512856150105</v>
      </c>
    </row>
    <row r="7" spans="1:21" ht="21.95" customHeight="1">
      <c r="A7" s="231"/>
      <c r="B7" s="242"/>
      <c r="C7" s="242"/>
      <c r="D7" s="135"/>
      <c r="E7" s="168">
        <v>3</v>
      </c>
      <c r="F7" s="167" t="s">
        <v>67</v>
      </c>
      <c r="H7" s="245"/>
      <c r="I7" s="156">
        <v>4</v>
      </c>
      <c r="J7" s="155">
        <v>2.202</v>
      </c>
      <c r="K7" s="84">
        <f t="shared" si="0"/>
        <v>9</v>
      </c>
      <c r="L7" s="71">
        <f t="shared" si="1"/>
        <v>4.4624999999999915E-2</v>
      </c>
      <c r="M7" s="238"/>
      <c r="N7" s="144">
        <v>4</v>
      </c>
      <c r="O7" s="127" t="str">
        <f t="shared" si="2"/>
        <v>B25</v>
      </c>
      <c r="P7" s="128">
        <v>47.07</v>
      </c>
      <c r="R7" s="221"/>
      <c r="S7" s="144" t="str">
        <f t="shared" si="3"/>
        <v>B23</v>
      </c>
      <c r="T7" s="161">
        <f t="shared" si="4"/>
        <v>57.85</v>
      </c>
      <c r="U7" s="126">
        <f t="shared" si="5"/>
        <v>2768.3664649956786</v>
      </c>
    </row>
    <row r="8" spans="1:21" ht="21.95" customHeight="1">
      <c r="A8" s="231"/>
      <c r="B8" s="242"/>
      <c r="C8" s="242"/>
      <c r="D8" s="135"/>
      <c r="E8" s="149">
        <v>4</v>
      </c>
      <c r="F8" s="139" t="s">
        <v>70</v>
      </c>
      <c r="H8" s="245"/>
      <c r="I8" s="157">
        <v>5</v>
      </c>
      <c r="J8" s="150">
        <v>2.29</v>
      </c>
      <c r="K8" s="84">
        <f t="shared" si="0"/>
        <v>10</v>
      </c>
      <c r="L8" s="71">
        <f t="shared" si="1"/>
        <v>4.3375000000000163E-2</v>
      </c>
      <c r="M8" s="238"/>
      <c r="N8" s="143">
        <v>5</v>
      </c>
      <c r="O8" s="120" t="str">
        <f t="shared" si="2"/>
        <v>B26</v>
      </c>
      <c r="P8" s="136">
        <v>55.94</v>
      </c>
      <c r="R8" s="221"/>
      <c r="S8" s="143" t="str">
        <f t="shared" si="3"/>
        <v>B24</v>
      </c>
      <c r="T8" s="159">
        <f t="shared" si="4"/>
        <v>58.42</v>
      </c>
      <c r="U8" s="118">
        <f t="shared" si="5"/>
        <v>2741.3557001027043</v>
      </c>
    </row>
    <row r="9" spans="1:21" ht="21.95" customHeight="1">
      <c r="A9" s="231"/>
      <c r="B9" s="242"/>
      <c r="C9" s="242"/>
      <c r="D9" s="135"/>
      <c r="E9" s="168">
        <v>5</v>
      </c>
      <c r="F9" s="167" t="s">
        <v>72</v>
      </c>
      <c r="H9" s="245"/>
      <c r="I9" s="156">
        <v>6</v>
      </c>
      <c r="J9" s="155">
        <v>2.2429999999999999</v>
      </c>
      <c r="K9" s="84">
        <f t="shared" si="0"/>
        <v>16</v>
      </c>
      <c r="L9" s="71">
        <f t="shared" si="1"/>
        <v>3.6249999999999893E-3</v>
      </c>
      <c r="M9" s="238"/>
      <c r="N9" s="154">
        <v>6</v>
      </c>
      <c r="O9" s="127" t="str">
        <f t="shared" si="2"/>
        <v>B27</v>
      </c>
      <c r="P9" s="128">
        <v>51.33</v>
      </c>
      <c r="R9" s="221"/>
      <c r="S9" s="127" t="str">
        <f t="shared" si="3"/>
        <v>B25</v>
      </c>
      <c r="T9" s="161">
        <f t="shared" si="4"/>
        <v>47.07</v>
      </c>
      <c r="U9" s="126">
        <f t="shared" si="5"/>
        <v>3402.3794348842148</v>
      </c>
    </row>
    <row r="10" spans="1:21" ht="21.95" customHeight="1">
      <c r="A10" s="231"/>
      <c r="B10" s="242"/>
      <c r="C10" s="242"/>
      <c r="D10" s="135"/>
      <c r="E10" s="149">
        <v>6</v>
      </c>
      <c r="F10" s="139" t="s">
        <v>75</v>
      </c>
      <c r="H10" s="245"/>
      <c r="I10" s="157">
        <v>7</v>
      </c>
      <c r="J10" s="150">
        <v>2.2519999999999998</v>
      </c>
      <c r="K10" s="84">
        <f t="shared" si="0"/>
        <v>14</v>
      </c>
      <c r="L10" s="71">
        <f t="shared" si="1"/>
        <v>5.3749999999999076E-3</v>
      </c>
      <c r="M10" s="238"/>
      <c r="N10" s="143">
        <v>7</v>
      </c>
      <c r="O10" s="120" t="str">
        <f t="shared" si="2"/>
        <v>B28</v>
      </c>
      <c r="P10" s="136">
        <v>51.21</v>
      </c>
      <c r="R10" s="221"/>
      <c r="S10" s="120" t="str">
        <f t="shared" si="3"/>
        <v>B26</v>
      </c>
      <c r="T10" s="159">
        <f t="shared" si="4"/>
        <v>55.94</v>
      </c>
      <c r="U10" s="118">
        <f t="shared" si="5"/>
        <v>2862.8888094386843</v>
      </c>
    </row>
    <row r="11" spans="1:21" ht="21.95" customHeight="1" thickBot="1">
      <c r="A11" s="231"/>
      <c r="B11" s="242"/>
      <c r="C11" s="242"/>
      <c r="D11" s="135"/>
      <c r="E11" s="168">
        <v>7</v>
      </c>
      <c r="F11" s="167" t="s">
        <v>77</v>
      </c>
      <c r="H11" s="245"/>
      <c r="I11" s="166">
        <v>8</v>
      </c>
      <c r="J11" s="165">
        <v>2.2349999999999999</v>
      </c>
      <c r="K11" s="84">
        <f t="shared" si="0"/>
        <v>12</v>
      </c>
      <c r="L11" s="71">
        <f t="shared" si="1"/>
        <v>1.1624999999999996E-2</v>
      </c>
      <c r="M11" s="238"/>
      <c r="N11" s="144">
        <v>8</v>
      </c>
      <c r="O11" s="127" t="str">
        <f t="shared" si="2"/>
        <v>B29</v>
      </c>
      <c r="P11" s="128">
        <v>43.95</v>
      </c>
      <c r="R11" s="221"/>
      <c r="S11" s="144" t="str">
        <f t="shared" si="3"/>
        <v>B27</v>
      </c>
      <c r="T11" s="127">
        <f t="shared" si="4"/>
        <v>51.33</v>
      </c>
      <c r="U11" s="126">
        <f t="shared" si="5"/>
        <v>3120.0077927138127</v>
      </c>
    </row>
    <row r="12" spans="1:21" ht="21.95" customHeight="1" thickTop="1">
      <c r="A12" s="231"/>
      <c r="B12" s="242"/>
      <c r="C12" s="242"/>
      <c r="D12" s="135"/>
      <c r="E12" s="149">
        <v>8</v>
      </c>
      <c r="F12" s="152" t="s">
        <v>78</v>
      </c>
      <c r="H12" s="245"/>
      <c r="I12" s="164">
        <v>9</v>
      </c>
      <c r="J12" s="163"/>
      <c r="K12" s="84">
        <f t="shared" si="0"/>
        <v>1</v>
      </c>
      <c r="L12" s="71">
        <f t="shared" si="1"/>
        <v>2.2466249999999999</v>
      </c>
      <c r="M12" s="238"/>
      <c r="N12" s="137">
        <v>9</v>
      </c>
      <c r="O12" s="120" t="str">
        <f t="shared" si="2"/>
        <v>B30</v>
      </c>
      <c r="P12" s="136">
        <v>60.99</v>
      </c>
      <c r="R12" s="221"/>
      <c r="S12" s="143" t="str">
        <f t="shared" si="3"/>
        <v>B28</v>
      </c>
      <c r="T12" s="162">
        <f t="shared" si="4"/>
        <v>51.21</v>
      </c>
      <c r="U12" s="118">
        <f t="shared" si="5"/>
        <v>3127.3188830306581</v>
      </c>
    </row>
    <row r="13" spans="1:21" ht="21.95" customHeight="1">
      <c r="A13" s="231"/>
      <c r="B13" s="242"/>
      <c r="C13" s="242"/>
      <c r="D13" s="135"/>
      <c r="E13" s="148">
        <v>9</v>
      </c>
      <c r="F13" s="133" t="s">
        <v>79</v>
      </c>
      <c r="H13" s="245"/>
      <c r="I13" s="156">
        <v>10</v>
      </c>
      <c r="J13" s="155"/>
      <c r="K13" s="84">
        <f t="shared" si="0"/>
        <v>1</v>
      </c>
      <c r="L13" s="71">
        <f t="shared" si="1"/>
        <v>2.2466249999999999</v>
      </c>
      <c r="M13" s="238"/>
      <c r="N13" s="144">
        <v>10</v>
      </c>
      <c r="O13" s="127" t="str">
        <f t="shared" si="2"/>
        <v>B31</v>
      </c>
      <c r="P13" s="128">
        <v>71.959999999999994</v>
      </c>
      <c r="R13" s="221"/>
      <c r="S13" s="127" t="str">
        <f t="shared" si="3"/>
        <v>B29</v>
      </c>
      <c r="T13" s="161">
        <f t="shared" si="4"/>
        <v>43.95</v>
      </c>
      <c r="U13" s="126">
        <f t="shared" si="5"/>
        <v>3643.9135381114902</v>
      </c>
    </row>
    <row r="14" spans="1:21" ht="21.95" customHeight="1">
      <c r="A14" s="231"/>
      <c r="B14" s="242"/>
      <c r="C14" s="242"/>
      <c r="D14" s="135"/>
      <c r="E14" s="153">
        <v>10</v>
      </c>
      <c r="F14" s="160" t="s">
        <v>92</v>
      </c>
      <c r="H14" s="245"/>
      <c r="I14" s="157">
        <v>11</v>
      </c>
      <c r="J14" s="150"/>
      <c r="K14" s="84">
        <f t="shared" si="0"/>
        <v>1</v>
      </c>
      <c r="L14" s="71">
        <f t="shared" si="1"/>
        <v>2.2466249999999999</v>
      </c>
      <c r="M14" s="238"/>
      <c r="N14" s="137">
        <v>11</v>
      </c>
      <c r="O14" s="120" t="str">
        <f t="shared" si="2"/>
        <v>B32</v>
      </c>
      <c r="P14" s="136">
        <v>59.92</v>
      </c>
      <c r="R14" s="221"/>
      <c r="S14" s="143" t="str">
        <f t="shared" si="3"/>
        <v>B30</v>
      </c>
      <c r="T14" s="159">
        <f t="shared" si="4"/>
        <v>60.99</v>
      </c>
      <c r="U14" s="118">
        <f t="shared" si="5"/>
        <v>2625.8403016888014</v>
      </c>
    </row>
    <row r="15" spans="1:21" ht="21.95" customHeight="1">
      <c r="A15" s="231"/>
      <c r="B15" s="242"/>
      <c r="C15" s="242"/>
      <c r="D15" s="135"/>
      <c r="E15" s="148">
        <v>11</v>
      </c>
      <c r="F15" s="147" t="s">
        <v>93</v>
      </c>
      <c r="H15" s="245"/>
      <c r="I15" s="156">
        <v>12</v>
      </c>
      <c r="J15" s="155"/>
      <c r="K15" s="84">
        <f t="shared" si="0"/>
        <v>1</v>
      </c>
      <c r="L15" s="71">
        <f t="shared" si="1"/>
        <v>2.2466249999999999</v>
      </c>
      <c r="M15" s="238"/>
      <c r="N15" s="158">
        <v>12</v>
      </c>
      <c r="O15" s="127" t="str">
        <f t="shared" si="2"/>
        <v>B33</v>
      </c>
      <c r="P15" s="128">
        <v>77.36</v>
      </c>
      <c r="R15" s="221"/>
      <c r="S15" s="144" t="str">
        <f t="shared" si="3"/>
        <v>B31</v>
      </c>
      <c r="T15" s="127">
        <f t="shared" si="4"/>
        <v>71.959999999999994</v>
      </c>
      <c r="U15" s="126">
        <f t="shared" si="5"/>
        <v>2225.5419677598666</v>
      </c>
    </row>
    <row r="16" spans="1:21" ht="21.95" customHeight="1">
      <c r="A16" s="231"/>
      <c r="B16" s="242"/>
      <c r="C16" s="242"/>
      <c r="D16" s="135"/>
      <c r="E16" s="153">
        <v>12</v>
      </c>
      <c r="F16" s="152" t="s">
        <v>94</v>
      </c>
      <c r="H16" s="245"/>
      <c r="I16" s="157">
        <v>13</v>
      </c>
      <c r="J16" s="150"/>
      <c r="K16" s="84">
        <f t="shared" si="0"/>
        <v>1</v>
      </c>
      <c r="L16" s="71">
        <f t="shared" si="1"/>
        <v>2.2466249999999999</v>
      </c>
      <c r="M16" s="238"/>
      <c r="N16" s="143">
        <v>13</v>
      </c>
      <c r="O16" s="120" t="str">
        <f t="shared" si="2"/>
        <v>B34</v>
      </c>
      <c r="P16" s="136">
        <v>78.180000000000007</v>
      </c>
      <c r="R16" s="221"/>
      <c r="S16" s="120" t="str">
        <f t="shared" si="3"/>
        <v>B32</v>
      </c>
      <c r="T16" s="119">
        <f t="shared" si="4"/>
        <v>59.92</v>
      </c>
      <c r="U16" s="118">
        <f t="shared" si="5"/>
        <v>2672.7303070761013</v>
      </c>
    </row>
    <row r="17" spans="1:22" ht="21.95" customHeight="1">
      <c r="A17" s="231"/>
      <c r="B17" s="242"/>
      <c r="C17" s="242"/>
      <c r="D17" s="135"/>
      <c r="E17" s="148">
        <v>13</v>
      </c>
      <c r="F17" s="147" t="s">
        <v>95</v>
      </c>
      <c r="H17" s="245"/>
      <c r="I17" s="156">
        <v>14</v>
      </c>
      <c r="J17" s="155"/>
      <c r="K17" s="84">
        <f t="shared" si="0"/>
        <v>1</v>
      </c>
      <c r="L17" s="71">
        <f t="shared" si="1"/>
        <v>2.2466249999999999</v>
      </c>
      <c r="M17" s="238"/>
      <c r="N17" s="154">
        <v>14</v>
      </c>
      <c r="O17" s="127" t="str">
        <f t="shared" si="2"/>
        <v>B35</v>
      </c>
      <c r="P17" s="128">
        <v>72.27</v>
      </c>
      <c r="R17" s="221"/>
      <c r="S17" s="127" t="str">
        <f t="shared" si="3"/>
        <v>B33</v>
      </c>
      <c r="T17" s="127">
        <f t="shared" si="4"/>
        <v>77.36</v>
      </c>
      <c r="U17" s="126">
        <f t="shared" si="5"/>
        <v>2070.1913133402277</v>
      </c>
    </row>
    <row r="18" spans="1:22" ht="21.95" customHeight="1">
      <c r="A18" s="231"/>
      <c r="B18" s="243" t="s">
        <v>195</v>
      </c>
      <c r="C18" s="244"/>
      <c r="D18" s="135"/>
      <c r="E18" s="153">
        <v>14</v>
      </c>
      <c r="F18" s="152" t="s">
        <v>96</v>
      </c>
      <c r="H18" s="245"/>
      <c r="I18" s="151">
        <v>15</v>
      </c>
      <c r="J18" s="150"/>
      <c r="K18" s="84">
        <f t="shared" si="0"/>
        <v>1</v>
      </c>
      <c r="L18" s="71">
        <f t="shared" si="1"/>
        <v>2.2466249999999999</v>
      </c>
      <c r="M18" s="238"/>
      <c r="N18" s="149">
        <v>15</v>
      </c>
      <c r="O18" s="120" t="str">
        <f t="shared" si="2"/>
        <v>B36</v>
      </c>
      <c r="P18" s="136">
        <v>63.75</v>
      </c>
      <c r="R18" s="221"/>
      <c r="S18" s="143" t="str">
        <f t="shared" si="3"/>
        <v>B34</v>
      </c>
      <c r="T18" s="119">
        <f t="shared" si="4"/>
        <v>78.180000000000007</v>
      </c>
      <c r="U18" s="118">
        <f t="shared" si="5"/>
        <v>2048.4778715784087</v>
      </c>
    </row>
    <row r="19" spans="1:22" ht="21.95" customHeight="1" thickBot="1">
      <c r="A19" s="231"/>
      <c r="B19" s="244"/>
      <c r="C19" s="244"/>
      <c r="D19" s="135"/>
      <c r="E19" s="148">
        <v>15</v>
      </c>
      <c r="F19" s="147" t="s">
        <v>97</v>
      </c>
      <c r="H19" s="245"/>
      <c r="I19" s="146">
        <v>16</v>
      </c>
      <c r="J19" s="145"/>
      <c r="K19" s="84">
        <f t="shared" si="0"/>
        <v>1</v>
      </c>
      <c r="L19" s="71">
        <f t="shared" si="1"/>
        <v>2.2466249999999999</v>
      </c>
      <c r="M19" s="238"/>
      <c r="N19" s="144">
        <v>16</v>
      </c>
      <c r="O19" s="127" t="str">
        <f t="shared" si="2"/>
        <v>B37</v>
      </c>
      <c r="P19" s="128">
        <v>60.05</v>
      </c>
      <c r="R19" s="221"/>
      <c r="S19" s="144" t="str">
        <f t="shared" si="3"/>
        <v>B35</v>
      </c>
      <c r="T19" s="127">
        <f t="shared" si="4"/>
        <v>72.27</v>
      </c>
      <c r="U19" s="126">
        <f t="shared" si="5"/>
        <v>2215.9955721599558</v>
      </c>
    </row>
    <row r="20" spans="1:22" ht="21.95" customHeight="1" thickTop="1" thickBot="1">
      <c r="A20" s="231"/>
      <c r="B20" s="244"/>
      <c r="C20" s="244"/>
      <c r="D20" s="135"/>
      <c r="E20" s="140">
        <v>16</v>
      </c>
      <c r="F20" s="139" t="s">
        <v>98</v>
      </c>
      <c r="H20" s="245"/>
      <c r="I20" s="121"/>
      <c r="J20" s="65"/>
      <c r="M20" s="238"/>
      <c r="N20" s="137">
        <v>17</v>
      </c>
      <c r="O20" s="120" t="str">
        <f t="shared" si="2"/>
        <v>B38</v>
      </c>
      <c r="P20" s="136">
        <v>60.95</v>
      </c>
      <c r="R20" s="221"/>
      <c r="S20" s="143" t="str">
        <f t="shared" si="3"/>
        <v>B36</v>
      </c>
      <c r="T20" s="119">
        <f t="shared" si="4"/>
        <v>63.75</v>
      </c>
      <c r="U20" s="118">
        <f t="shared" si="5"/>
        <v>2512.1568627450979</v>
      </c>
    </row>
    <row r="21" spans="1:22" ht="21.95" customHeight="1" thickTop="1" thickBot="1">
      <c r="A21" s="231"/>
      <c r="B21" s="244"/>
      <c r="C21" s="244"/>
      <c r="D21" s="135"/>
      <c r="E21" s="142">
        <v>17</v>
      </c>
      <c r="F21" s="133" t="s">
        <v>99</v>
      </c>
      <c r="H21" s="245"/>
      <c r="I21" s="107" t="s">
        <v>194</v>
      </c>
      <c r="J21" s="93">
        <f>IFERROR((I59/J23)*100,"---")</f>
        <v>1.1001018448910522</v>
      </c>
      <c r="M21" s="238"/>
      <c r="N21" s="141">
        <v>18</v>
      </c>
      <c r="O21" s="127" t="str">
        <f t="shared" si="2"/>
        <v>B39</v>
      </c>
      <c r="P21" s="128">
        <v>59.87</v>
      </c>
      <c r="R21" s="221"/>
      <c r="S21" s="127" t="str">
        <f t="shared" si="3"/>
        <v>B37</v>
      </c>
      <c r="T21" s="127">
        <f t="shared" si="4"/>
        <v>60.05</v>
      </c>
      <c r="U21" s="126">
        <f t="shared" si="5"/>
        <v>2666.9442131557039</v>
      </c>
    </row>
    <row r="22" spans="1:22" ht="21.95" customHeight="1" thickTop="1" thickBot="1">
      <c r="A22" s="231"/>
      <c r="B22" s="244"/>
      <c r="C22" s="244"/>
      <c r="D22" s="135"/>
      <c r="E22" s="140">
        <v>18</v>
      </c>
      <c r="F22" s="139" t="s">
        <v>100</v>
      </c>
      <c r="H22" s="138"/>
      <c r="K22" s="95"/>
      <c r="M22" s="238"/>
      <c r="N22" s="137">
        <v>19</v>
      </c>
      <c r="O22" s="120" t="str">
        <f t="shared" si="2"/>
        <v>B40</v>
      </c>
      <c r="P22" s="136">
        <v>42.75</v>
      </c>
      <c r="R22" s="221"/>
      <c r="S22" s="120" t="str">
        <f t="shared" si="3"/>
        <v>B38</v>
      </c>
      <c r="T22" s="119">
        <f t="shared" si="4"/>
        <v>60.95</v>
      </c>
      <c r="U22" s="118">
        <f t="shared" si="5"/>
        <v>2627.563576702215</v>
      </c>
    </row>
    <row r="23" spans="1:22" ht="21.95" customHeight="1" thickTop="1" thickBot="1">
      <c r="A23" s="231"/>
      <c r="B23" s="244"/>
      <c r="C23" s="244"/>
      <c r="D23" s="135"/>
      <c r="E23" s="134">
        <v>19</v>
      </c>
      <c r="F23" s="133" t="s">
        <v>105</v>
      </c>
      <c r="H23" s="132" t="s">
        <v>193</v>
      </c>
      <c r="I23" s="131" t="s">
        <v>192</v>
      </c>
      <c r="J23" s="130">
        <f>IFERROR(AVERAGE(J4:J11),"---")</f>
        <v>2.2466249999999999</v>
      </c>
      <c r="M23" s="238"/>
      <c r="N23" s="129">
        <v>20</v>
      </c>
      <c r="O23" s="114" t="str">
        <f t="shared" si="2"/>
        <v>B42</v>
      </c>
      <c r="P23" s="128">
        <v>56.18</v>
      </c>
      <c r="R23" s="221"/>
      <c r="S23" s="127" t="str">
        <f t="shared" si="3"/>
        <v>B39</v>
      </c>
      <c r="T23" s="127">
        <f t="shared" si="4"/>
        <v>59.87</v>
      </c>
      <c r="U23" s="126">
        <f t="shared" si="5"/>
        <v>2674.9624185735761</v>
      </c>
    </row>
    <row r="24" spans="1:22" ht="21.95" customHeight="1" thickTop="1" thickBot="1">
      <c r="A24" s="231"/>
      <c r="B24" s="244"/>
      <c r="C24" s="244"/>
      <c r="E24" s="125">
        <v>20</v>
      </c>
      <c r="F24" s="124" t="s">
        <v>107</v>
      </c>
      <c r="H24" s="200" t="s">
        <v>191</v>
      </c>
      <c r="I24" s="73" t="s">
        <v>170</v>
      </c>
      <c r="J24" s="123">
        <f>J23</f>
        <v>2.2466249999999999</v>
      </c>
      <c r="M24" s="238"/>
      <c r="O24" s="122"/>
      <c r="P24" s="121"/>
      <c r="Q24" s="95"/>
      <c r="R24" s="221"/>
      <c r="S24" s="120" t="str">
        <f t="shared" si="3"/>
        <v>B40</v>
      </c>
      <c r="T24" s="119">
        <f t="shared" si="4"/>
        <v>42.75</v>
      </c>
      <c r="U24" s="118">
        <f t="shared" si="5"/>
        <v>3746.1988304093566</v>
      </c>
    </row>
    <row r="25" spans="1:22" ht="21.95" customHeight="1" thickTop="1" thickBot="1">
      <c r="A25" s="231"/>
      <c r="B25" s="117"/>
      <c r="C25" s="117"/>
      <c r="E25" s="116"/>
      <c r="H25" s="200"/>
      <c r="I25" s="73" t="s">
        <v>190</v>
      </c>
      <c r="J25" s="115">
        <f>J23</f>
        <v>2.2466249999999999</v>
      </c>
      <c r="M25" s="238"/>
      <c r="N25" s="232" t="s">
        <v>189</v>
      </c>
      <c r="O25" s="233"/>
      <c r="P25" s="93">
        <f>IFERROR((T64/P27)*100,"---")</f>
        <v>17.059249128887565</v>
      </c>
      <c r="R25" s="222"/>
      <c r="S25" s="114" t="str">
        <f t="shared" si="3"/>
        <v>B42</v>
      </c>
      <c r="T25" s="114">
        <f t="shared" si="4"/>
        <v>56.18</v>
      </c>
      <c r="U25" s="113">
        <f t="shared" si="5"/>
        <v>2850.6585973656106</v>
      </c>
      <c r="V25" s="95"/>
    </row>
    <row r="26" spans="1:22" ht="21.95" customHeight="1" thickTop="1" thickBot="1">
      <c r="A26" s="231"/>
      <c r="B26" s="246"/>
      <c r="C26" s="246"/>
      <c r="D26" s="246"/>
      <c r="E26" s="246"/>
      <c r="F26" s="246"/>
      <c r="H26" s="200"/>
      <c r="I26" s="73" t="s">
        <v>188</v>
      </c>
      <c r="J26" s="112">
        <f>J23</f>
        <v>2.2466249999999999</v>
      </c>
      <c r="M26" s="238"/>
      <c r="N26" s="208"/>
      <c r="O26" s="208"/>
      <c r="P26" s="208"/>
      <c r="Q26" s="95"/>
    </row>
    <row r="27" spans="1:22" ht="21.95" customHeight="1" thickTop="1" thickBot="1">
      <c r="A27" s="231"/>
      <c r="B27" s="246"/>
      <c r="C27" s="246"/>
      <c r="D27" s="246"/>
      <c r="E27" s="246"/>
      <c r="F27" s="246"/>
      <c r="H27" s="200"/>
      <c r="I27" s="73" t="s">
        <v>167</v>
      </c>
      <c r="J27" s="111">
        <f>J23</f>
        <v>2.2466249999999999</v>
      </c>
      <c r="M27" s="238"/>
      <c r="N27" s="210" t="s">
        <v>187</v>
      </c>
      <c r="O27" s="211"/>
      <c r="P27" s="110">
        <f>IFERROR(AVERAGE(P4:P23),"---")</f>
        <v>60.097499999999989</v>
      </c>
    </row>
    <row r="28" spans="1:22" ht="21.95" customHeight="1" thickTop="1" thickBot="1">
      <c r="A28" s="231"/>
      <c r="B28" s="246"/>
      <c r="C28" s="246"/>
      <c r="D28" s="246"/>
      <c r="E28" s="246"/>
      <c r="F28" s="246"/>
      <c r="H28" s="200"/>
      <c r="I28" s="70" t="s">
        <v>166</v>
      </c>
      <c r="J28" s="109">
        <f>J23</f>
        <v>2.2466249999999999</v>
      </c>
      <c r="M28" s="238"/>
      <c r="N28" s="208"/>
      <c r="O28" s="208"/>
      <c r="P28" s="208"/>
      <c r="Q28" s="95"/>
    </row>
    <row r="29" spans="1:22" ht="21.95" customHeight="1" thickTop="1" thickBot="1">
      <c r="A29" s="231"/>
      <c r="B29" s="246"/>
      <c r="C29" s="246"/>
      <c r="D29" s="246"/>
      <c r="E29" s="246"/>
      <c r="F29" s="246"/>
      <c r="H29" s="200"/>
      <c r="K29" s="95"/>
      <c r="M29" s="238"/>
      <c r="N29" s="212" t="s">
        <v>186</v>
      </c>
      <c r="O29" s="213"/>
      <c r="P29" s="108">
        <f>IFERROR(T72,"---")</f>
        <v>64.061463727469274</v>
      </c>
    </row>
    <row r="30" spans="1:22" ht="21.95" customHeight="1" thickTop="1" thickBot="1">
      <c r="A30" s="231"/>
      <c r="B30" s="105"/>
      <c r="C30" s="105"/>
      <c r="D30" s="105"/>
      <c r="E30" s="105"/>
      <c r="F30" s="105"/>
      <c r="H30" s="200"/>
      <c r="I30" s="107" t="s">
        <v>185</v>
      </c>
      <c r="J30" s="66">
        <v>2.2469999999999999</v>
      </c>
      <c r="M30" s="238"/>
      <c r="N30" s="214" t="s">
        <v>184</v>
      </c>
      <c r="O30" s="215"/>
      <c r="P30" s="106">
        <f>P29</f>
        <v>64.061463727469274</v>
      </c>
    </row>
    <row r="31" spans="1:22" ht="21.95" customHeight="1" thickTop="1" thickBot="1">
      <c r="A31" s="231"/>
      <c r="B31" s="105"/>
      <c r="C31" s="105"/>
      <c r="D31" s="105"/>
      <c r="E31" s="105"/>
      <c r="F31" s="105"/>
      <c r="H31" s="200"/>
      <c r="J31" s="65"/>
      <c r="M31" s="238"/>
      <c r="N31" s="216" t="s">
        <v>183</v>
      </c>
      <c r="O31" s="217"/>
      <c r="P31" s="103">
        <f>P29</f>
        <v>64.061463727469274</v>
      </c>
    </row>
    <row r="32" spans="1:22" ht="21.95" customHeight="1" thickTop="1" thickBot="1">
      <c r="A32" s="231"/>
      <c r="B32" s="97"/>
      <c r="C32" s="97"/>
      <c r="H32" s="200"/>
      <c r="I32" s="240" t="s">
        <v>182</v>
      </c>
      <c r="J32" s="241"/>
      <c r="M32" s="238"/>
      <c r="N32" s="198" t="s">
        <v>181</v>
      </c>
      <c r="O32" s="199"/>
      <c r="P32" s="101">
        <f>P29</f>
        <v>64.061463727469274</v>
      </c>
    </row>
    <row r="33" spans="1:17" ht="21.95" customHeight="1" thickTop="1" thickBot="1">
      <c r="A33" s="231"/>
      <c r="B33" s="97"/>
      <c r="C33" s="97"/>
      <c r="H33" s="200"/>
      <c r="I33" s="62" t="s">
        <v>163</v>
      </c>
      <c r="J33" s="100">
        <f>IF(J30*25=0,"",J30*25)</f>
        <v>56.174999999999997</v>
      </c>
      <c r="M33" s="238"/>
      <c r="N33" s="209"/>
      <c r="O33" s="209"/>
      <c r="P33" s="209"/>
      <c r="Q33" s="95"/>
    </row>
    <row r="34" spans="1:17" ht="21.95" customHeight="1" thickTop="1" thickBot="1">
      <c r="A34" s="231"/>
      <c r="B34" s="97"/>
      <c r="C34" s="97"/>
      <c r="H34" s="200"/>
      <c r="I34" s="99" t="s">
        <v>162</v>
      </c>
      <c r="J34" s="58">
        <f>IFERROR(J33*10,"")</f>
        <v>561.75</v>
      </c>
      <c r="M34" s="238"/>
      <c r="N34" s="218" t="s">
        <v>180</v>
      </c>
      <c r="O34" s="218"/>
      <c r="P34" s="98">
        <v>64.06</v>
      </c>
      <c r="Q34" s="91"/>
    </row>
    <row r="35" spans="1:17" ht="21.95" customHeight="1" thickTop="1" thickBot="1">
      <c r="A35" s="231"/>
      <c r="B35" s="97"/>
      <c r="C35" s="97"/>
      <c r="H35" s="200"/>
      <c r="J35" s="65"/>
      <c r="M35" s="238"/>
      <c r="N35" s="96"/>
      <c r="O35" s="96"/>
      <c r="P35" s="96"/>
      <c r="Q35" s="95"/>
    </row>
    <row r="36" spans="1:17" ht="21.95" customHeight="1" thickTop="1" thickBot="1">
      <c r="A36" s="78"/>
      <c r="B36" s="77"/>
      <c r="C36" s="77"/>
      <c r="H36" s="200"/>
      <c r="I36" s="94" t="s">
        <v>179</v>
      </c>
      <c r="J36" s="93">
        <f>IFERROR((I60/J45)*100, "")</f>
        <v>1.1001018448910522</v>
      </c>
      <c r="M36" s="239"/>
      <c r="N36" s="218" t="s">
        <v>178</v>
      </c>
      <c r="O36" s="218"/>
      <c r="P36" s="92">
        <f>IF(10*P34=0,"", 10*P34)</f>
        <v>640.6</v>
      </c>
      <c r="Q36" s="91"/>
    </row>
    <row r="37" spans="1:17" ht="21.95" customHeight="1" thickTop="1" thickBot="1">
      <c r="A37" s="78"/>
      <c r="B37" s="77"/>
      <c r="C37" s="77"/>
      <c r="H37" s="200"/>
      <c r="J37" s="65"/>
    </row>
    <row r="38" spans="1:17" ht="21.95" customHeight="1" thickTop="1">
      <c r="A38" s="78"/>
      <c r="B38" s="77"/>
      <c r="C38" s="77"/>
      <c r="H38" s="200"/>
      <c r="I38" s="196" t="s">
        <v>177</v>
      </c>
      <c r="J38" s="197"/>
    </row>
    <row r="39" spans="1:17" ht="21.95" customHeight="1">
      <c r="A39" s="78"/>
      <c r="B39" s="77"/>
      <c r="C39" s="77"/>
      <c r="H39" s="200"/>
      <c r="I39" s="202" t="s">
        <v>176</v>
      </c>
      <c r="J39" s="203"/>
    </row>
    <row r="40" spans="1:17" ht="21.95" customHeight="1">
      <c r="A40" s="78"/>
      <c r="B40" s="77"/>
      <c r="C40" s="77"/>
      <c r="H40" s="200"/>
      <c r="I40" s="204"/>
      <c r="J40" s="205"/>
      <c r="K40" s="90"/>
    </row>
    <row r="41" spans="1:17" ht="21.95" customHeight="1">
      <c r="A41" s="78"/>
      <c r="B41" s="77"/>
      <c r="C41" s="77"/>
      <c r="H41" s="200"/>
      <c r="I41" s="89" t="s">
        <v>175</v>
      </c>
      <c r="J41" s="88" t="s">
        <v>174</v>
      </c>
      <c r="K41" s="87"/>
    </row>
    <row r="42" spans="1:17" ht="21.95" customHeight="1">
      <c r="A42" s="78"/>
      <c r="B42" s="77"/>
      <c r="C42" s="77"/>
      <c r="H42" s="200"/>
      <c r="I42" s="86" t="s">
        <v>173</v>
      </c>
      <c r="J42" s="85" t="str">
        <f>IFERROR(K95,"")</f>
        <v>NO</v>
      </c>
      <c r="K42" s="84"/>
      <c r="L42" s="71"/>
    </row>
    <row r="43" spans="1:17" ht="21.95" customHeight="1" thickBot="1">
      <c r="A43" s="78"/>
      <c r="B43" s="77"/>
      <c r="C43" s="77"/>
      <c r="H43" s="200"/>
      <c r="I43" s="83" t="s">
        <v>172</v>
      </c>
      <c r="J43" s="82" t="str">
        <f>IFERROR(K126,"")</f>
        <v>NO</v>
      </c>
      <c r="L43" s="71"/>
      <c r="M43" s="81"/>
    </row>
    <row r="44" spans="1:17" ht="21.95" customHeight="1" thickTop="1" thickBot="1">
      <c r="A44" s="78"/>
      <c r="B44" s="77"/>
      <c r="C44" s="77"/>
      <c r="H44" s="200"/>
      <c r="J44" s="65"/>
      <c r="L44" s="71"/>
    </row>
    <row r="45" spans="1:17" ht="21.95" customHeight="1" thickTop="1">
      <c r="A45" s="78"/>
      <c r="B45" s="77"/>
      <c r="C45" s="77"/>
      <c r="H45" s="200"/>
      <c r="I45" s="80" t="s">
        <v>171</v>
      </c>
      <c r="J45" s="79">
        <f>IFERROR(AVERAGE(J4:J19),"---")</f>
        <v>2.2466249999999999</v>
      </c>
      <c r="L45" s="71"/>
    </row>
    <row r="46" spans="1:17" ht="21.95" customHeight="1">
      <c r="A46" s="78"/>
      <c r="B46" s="77"/>
      <c r="C46" s="77"/>
      <c r="H46" s="200"/>
      <c r="I46" s="73" t="s">
        <v>170</v>
      </c>
      <c r="J46" s="76">
        <f>J45</f>
        <v>2.2466249999999999</v>
      </c>
      <c r="L46" s="71"/>
    </row>
    <row r="47" spans="1:17" ht="21.95" customHeight="1">
      <c r="H47" s="200"/>
      <c r="I47" s="73" t="s">
        <v>169</v>
      </c>
      <c r="J47" s="75">
        <f>J45</f>
        <v>2.2466249999999999</v>
      </c>
      <c r="L47" s="71"/>
    </row>
    <row r="48" spans="1:17" ht="21.95" customHeight="1">
      <c r="H48" s="200"/>
      <c r="I48" s="73" t="s">
        <v>168</v>
      </c>
      <c r="J48" s="74">
        <f>J45</f>
        <v>2.2466249999999999</v>
      </c>
      <c r="L48" s="71"/>
    </row>
    <row r="49" spans="6:20" ht="21.95" customHeight="1">
      <c r="H49" s="200"/>
      <c r="I49" s="73" t="s">
        <v>167</v>
      </c>
      <c r="J49" s="72">
        <f>J45</f>
        <v>2.2466249999999999</v>
      </c>
      <c r="L49" s="71"/>
    </row>
    <row r="50" spans="6:20" ht="21.95" customHeight="1" thickBot="1">
      <c r="H50" s="200"/>
      <c r="I50" s="70" t="s">
        <v>166</v>
      </c>
      <c r="J50" s="69">
        <f>J45</f>
        <v>2.2466249999999999</v>
      </c>
    </row>
    <row r="51" spans="6:20" ht="21.95" customHeight="1" thickTop="1" thickBot="1">
      <c r="H51" s="200"/>
      <c r="K51" s="68"/>
    </row>
    <row r="52" spans="6:20" ht="21.95" customHeight="1" thickTop="1" thickBot="1">
      <c r="H52" s="200"/>
      <c r="I52" s="67" t="s">
        <v>165</v>
      </c>
      <c r="J52" s="66"/>
    </row>
    <row r="53" spans="6:20" ht="21.95" customHeight="1" thickTop="1" thickBot="1">
      <c r="H53" s="200"/>
      <c r="J53" s="65"/>
      <c r="K53" s="64"/>
    </row>
    <row r="54" spans="6:20" ht="21.95" customHeight="1" thickTop="1">
      <c r="H54" s="200"/>
      <c r="I54" s="206" t="s">
        <v>164</v>
      </c>
      <c r="J54" s="207"/>
      <c r="K54" s="63"/>
    </row>
    <row r="55" spans="6:20" ht="21.95" customHeight="1">
      <c r="H55" s="200"/>
      <c r="I55" s="62" t="s">
        <v>163</v>
      </c>
      <c r="J55" s="61" t="str">
        <f>IF(J52*25=0,"", J52*25)</f>
        <v/>
      </c>
      <c r="K55" s="60"/>
    </row>
    <row r="56" spans="6:20" ht="20.100000000000001" customHeight="1" thickBot="1">
      <c r="H56" s="201"/>
      <c r="I56" s="59" t="s">
        <v>162</v>
      </c>
      <c r="J56" s="58" t="str">
        <f>IFERROR(J55*10,"")</f>
        <v/>
      </c>
      <c r="K56" s="57"/>
    </row>
    <row r="57" spans="6:20" ht="21.95" customHeight="1" thickTop="1">
      <c r="H57" s="56"/>
      <c r="K57" s="55"/>
    </row>
    <row r="58" spans="6:20" ht="5.0999999999999996" customHeight="1">
      <c r="F58" s="23"/>
      <c r="G58" s="23"/>
      <c r="H58" s="23"/>
      <c r="I58" s="23"/>
      <c r="J58" s="23"/>
      <c r="K58" s="23"/>
      <c r="L58" s="23"/>
      <c r="M58" s="23"/>
      <c r="N58" s="23"/>
      <c r="O58" s="23"/>
      <c r="P58" s="23"/>
      <c r="Q58" s="23"/>
    </row>
    <row r="59" spans="6:20" ht="0.95" hidden="1" customHeight="1">
      <c r="F59" s="23"/>
      <c r="G59" s="23"/>
      <c r="H59" s="54" t="s">
        <v>161</v>
      </c>
      <c r="I59" s="23">
        <f>_xlfn.STDEV.S(J4:J11)</f>
        <v>2.4715163072783597E-2</v>
      </c>
      <c r="J59" s="23"/>
      <c r="K59" s="23"/>
      <c r="L59" s="23"/>
      <c r="M59" s="23"/>
      <c r="N59" s="23"/>
      <c r="O59" s="23"/>
      <c r="P59" s="23"/>
      <c r="Q59" s="23"/>
    </row>
    <row r="60" spans="6:20" ht="0.95" hidden="1" customHeight="1">
      <c r="F60" s="23"/>
      <c r="G60" s="23"/>
      <c r="H60" s="54" t="s">
        <v>160</v>
      </c>
      <c r="I60" s="23">
        <f>_xlfn.STDEV.S(J4:J19)</f>
        <v>2.4715163072783597E-2</v>
      </c>
      <c r="J60" s="23"/>
      <c r="K60" s="23"/>
      <c r="L60" s="23"/>
      <c r="M60" s="23"/>
      <c r="N60" s="23"/>
      <c r="O60" s="23"/>
      <c r="P60" s="23"/>
      <c r="Q60" s="23"/>
    </row>
    <row r="61" spans="6:20" ht="0.95" hidden="1" customHeight="1">
      <c r="F61" s="23"/>
      <c r="G61" s="23"/>
      <c r="H61" s="23" t="s">
        <v>159</v>
      </c>
      <c r="I61" s="23"/>
      <c r="J61" s="23"/>
      <c r="K61" s="23"/>
      <c r="L61" s="23"/>
      <c r="M61" s="23"/>
      <c r="N61" s="23"/>
      <c r="O61" s="39"/>
      <c r="P61" s="39" t="s">
        <v>158</v>
      </c>
      <c r="Q61" s="39"/>
      <c r="R61" s="48" t="s">
        <v>157</v>
      </c>
      <c r="S61" s="48"/>
      <c r="T61" s="53">
        <f>P27</f>
        <v>60.097499999999989</v>
      </c>
    </row>
    <row r="62" spans="6:20" ht="0.95" hidden="1" customHeight="1">
      <c r="F62" s="23"/>
      <c r="G62" s="39" t="s">
        <v>156</v>
      </c>
      <c r="H62" s="39"/>
      <c r="I62" s="23" t="str">
        <f>IFERROR(_xlfn.STDEV.S(#REF!),"---")</f>
        <v>---</v>
      </c>
      <c r="J62" s="23"/>
      <c r="K62" s="23"/>
      <c r="L62" s="23"/>
      <c r="M62" s="23"/>
      <c r="N62" s="23"/>
      <c r="O62" s="39"/>
      <c r="P62" s="49">
        <v>145</v>
      </c>
      <c r="Q62" s="39"/>
      <c r="R62" s="48" t="s">
        <v>155</v>
      </c>
      <c r="S62" s="48"/>
      <c r="T62" s="50">
        <f>COUNTA(P4:P23)</f>
        <v>20</v>
      </c>
    </row>
    <row r="63" spans="6:20" ht="0.95" hidden="1" customHeight="1">
      <c r="F63" s="23"/>
      <c r="G63" s="39">
        <v>1</v>
      </c>
      <c r="H63" s="47">
        <f t="shared" ref="H63:H78" si="6">J4</f>
        <v>2.2400000000000002</v>
      </c>
      <c r="I63" s="23">
        <f>IFERROR(_xlfn.STDEV.S(J4:J19),"---")</f>
        <v>2.4715163072783597E-2</v>
      </c>
      <c r="J63" s="23"/>
      <c r="K63" s="23"/>
      <c r="L63" s="23"/>
      <c r="M63" s="23"/>
      <c r="N63" s="23"/>
      <c r="O63" s="39"/>
      <c r="P63" s="49">
        <v>125</v>
      </c>
      <c r="Q63" s="39"/>
      <c r="R63" s="48" t="s">
        <v>154</v>
      </c>
      <c r="S63" s="48"/>
      <c r="T63" s="50">
        <f>T61</f>
        <v>60.097499999999989</v>
      </c>
    </row>
    <row r="64" spans="6:20" ht="0.95" hidden="1" customHeight="1">
      <c r="F64" s="23"/>
      <c r="G64" s="39">
        <v>2</v>
      </c>
      <c r="H64" s="47">
        <f t="shared" si="6"/>
        <v>2.2519999999999998</v>
      </c>
      <c r="I64" s="23">
        <v>16</v>
      </c>
      <c r="J64" s="23"/>
      <c r="K64" s="23"/>
      <c r="L64" s="23"/>
      <c r="M64" s="23"/>
      <c r="N64" s="23"/>
      <c r="O64" s="39"/>
      <c r="P64" s="49">
        <v>190</v>
      </c>
      <c r="Q64" s="39"/>
      <c r="R64" s="48" t="s">
        <v>153</v>
      </c>
      <c r="S64" s="48"/>
      <c r="T64" s="50">
        <f>_xlfn.STDEV.S(P4:P23)</f>
        <v>10.252182245233204</v>
      </c>
    </row>
    <row r="65" spans="6:20" ht="0.95" hidden="1" customHeight="1">
      <c r="F65" s="23"/>
      <c r="G65" s="39">
        <v>3</v>
      </c>
      <c r="H65" s="47">
        <f t="shared" si="6"/>
        <v>2.2589999999999999</v>
      </c>
      <c r="I65" s="23"/>
      <c r="J65" s="37"/>
      <c r="K65" s="52" t="s">
        <v>152</v>
      </c>
      <c r="L65" s="23"/>
      <c r="M65" s="23"/>
      <c r="N65" s="23"/>
      <c r="O65" s="39"/>
      <c r="P65" s="49">
        <v>135</v>
      </c>
      <c r="Q65" s="39"/>
      <c r="R65" s="48" t="s">
        <v>127</v>
      </c>
      <c r="S65" s="48"/>
      <c r="T65" s="50">
        <f>T62-1</f>
        <v>19</v>
      </c>
    </row>
    <row r="66" spans="6:20" ht="0.95" hidden="1" customHeight="1">
      <c r="F66" s="23"/>
      <c r="G66" s="39">
        <v>4</v>
      </c>
      <c r="H66" s="47">
        <f t="shared" si="6"/>
        <v>2.202</v>
      </c>
      <c r="I66" s="23"/>
      <c r="J66" s="33">
        <v>1</v>
      </c>
      <c r="K66" s="44">
        <f t="shared" ref="K66:K81" si="7">LARGE(H$63:H$78,J66)</f>
        <v>2.29</v>
      </c>
      <c r="L66" s="23"/>
      <c r="M66" s="23"/>
      <c r="N66" s="23"/>
      <c r="O66" s="39"/>
      <c r="P66" s="49">
        <v>220</v>
      </c>
      <c r="Q66" s="39"/>
      <c r="R66" s="48" t="s">
        <v>151</v>
      </c>
      <c r="S66" s="48"/>
      <c r="T66" s="51" t="s">
        <v>150</v>
      </c>
    </row>
    <row r="67" spans="6:20" ht="33.950000000000003" hidden="1" customHeight="1">
      <c r="F67" s="23"/>
      <c r="G67" s="39">
        <v>5</v>
      </c>
      <c r="H67" s="47">
        <f t="shared" si="6"/>
        <v>2.29</v>
      </c>
      <c r="I67" s="23"/>
      <c r="J67" s="33">
        <v>2</v>
      </c>
      <c r="K67" s="44">
        <f t="shared" si="7"/>
        <v>2.2589999999999999</v>
      </c>
      <c r="L67" s="23"/>
      <c r="M67" s="23"/>
      <c r="N67" s="23"/>
      <c r="O67" s="39"/>
      <c r="P67" s="49">
        <v>130</v>
      </c>
      <c r="Q67" s="39"/>
      <c r="R67" s="48"/>
      <c r="S67" s="48"/>
      <c r="T67" s="51"/>
    </row>
    <row r="68" spans="6:20" ht="33.950000000000003" hidden="1" customHeight="1">
      <c r="F68" s="23"/>
      <c r="G68" s="39">
        <v>6</v>
      </c>
      <c r="H68" s="47">
        <f t="shared" si="6"/>
        <v>2.2429999999999999</v>
      </c>
      <c r="I68" s="23"/>
      <c r="J68" s="33">
        <v>3</v>
      </c>
      <c r="K68" s="44">
        <f t="shared" si="7"/>
        <v>2.2519999999999998</v>
      </c>
      <c r="L68" s="23"/>
      <c r="M68" s="23"/>
      <c r="N68" s="23"/>
      <c r="O68" s="39"/>
      <c r="P68" s="49">
        <v>210</v>
      </c>
      <c r="Q68" s="39"/>
      <c r="R68" s="48"/>
      <c r="S68" s="48"/>
      <c r="T68" s="51"/>
    </row>
    <row r="69" spans="6:20" ht="33.950000000000003" hidden="1" customHeight="1">
      <c r="F69" s="23"/>
      <c r="G69" s="39">
        <v>7</v>
      </c>
      <c r="H69" s="47">
        <f t="shared" si="6"/>
        <v>2.2519999999999998</v>
      </c>
      <c r="I69" s="23"/>
      <c r="J69" s="33">
        <v>4</v>
      </c>
      <c r="K69" s="44">
        <f t="shared" si="7"/>
        <v>2.2519999999999998</v>
      </c>
      <c r="L69" s="23"/>
      <c r="M69" s="23"/>
      <c r="N69" s="23"/>
      <c r="O69" s="39"/>
      <c r="P69" s="49">
        <v>3</v>
      </c>
      <c r="Q69" s="39"/>
      <c r="R69" s="48" t="s">
        <v>149</v>
      </c>
      <c r="S69" s="48"/>
      <c r="T69" s="51" t="s">
        <v>148</v>
      </c>
    </row>
    <row r="70" spans="6:20" ht="33.950000000000003" hidden="1" customHeight="1">
      <c r="F70" s="23"/>
      <c r="G70" s="39">
        <v>8</v>
      </c>
      <c r="H70" s="47">
        <f t="shared" si="6"/>
        <v>2.2349999999999999</v>
      </c>
      <c r="I70" s="23"/>
      <c r="J70" s="33">
        <v>5</v>
      </c>
      <c r="K70" s="44">
        <f t="shared" si="7"/>
        <v>2.2429999999999999</v>
      </c>
      <c r="L70" s="23"/>
      <c r="M70" s="23"/>
      <c r="N70" s="23"/>
      <c r="O70" s="39"/>
      <c r="P70" s="49">
        <v>165</v>
      </c>
      <c r="Q70" s="39"/>
      <c r="R70" s="48" t="s">
        <v>147</v>
      </c>
      <c r="S70" s="48"/>
      <c r="T70" s="50">
        <f>T64/SQRT(T62)</f>
        <v>2.292457641805786</v>
      </c>
    </row>
    <row r="71" spans="6:20" ht="33.950000000000003" hidden="1" customHeight="1">
      <c r="F71" s="23"/>
      <c r="G71" s="39">
        <v>9</v>
      </c>
      <c r="H71" s="47">
        <f t="shared" si="6"/>
        <v>0</v>
      </c>
      <c r="I71" s="23"/>
      <c r="J71" s="33">
        <v>6</v>
      </c>
      <c r="K71" s="44">
        <f t="shared" si="7"/>
        <v>2.2400000000000002</v>
      </c>
      <c r="L71" s="23"/>
      <c r="M71" s="23"/>
      <c r="N71" s="23"/>
      <c r="O71" s="39"/>
      <c r="P71" s="49">
        <v>165</v>
      </c>
      <c r="Q71" s="39"/>
      <c r="R71" s="48" t="s">
        <v>146</v>
      </c>
      <c r="S71" s="48"/>
      <c r="T71" s="50">
        <f>_xlfn.T.INV(0.05,T65)</f>
        <v>-1.7291328115213698</v>
      </c>
    </row>
    <row r="72" spans="6:20" ht="33.950000000000003" hidden="1" customHeight="1">
      <c r="F72" s="23"/>
      <c r="G72" s="39">
        <v>10</v>
      </c>
      <c r="H72" s="47">
        <f t="shared" si="6"/>
        <v>0</v>
      </c>
      <c r="I72" s="23"/>
      <c r="J72" s="33">
        <v>7</v>
      </c>
      <c r="K72" s="44">
        <f t="shared" si="7"/>
        <v>2.2349999999999999</v>
      </c>
      <c r="L72" s="23"/>
      <c r="M72" s="23"/>
      <c r="N72" s="23"/>
      <c r="O72" s="39"/>
      <c r="P72" s="49">
        <v>150</v>
      </c>
      <c r="Q72" s="39"/>
      <c r="R72" s="48" t="s">
        <v>145</v>
      </c>
      <c r="S72" s="48"/>
      <c r="T72" s="48">
        <f>T63-(T71*T70)</f>
        <v>64.061463727469274</v>
      </c>
    </row>
    <row r="73" spans="6:20" ht="33.950000000000003" hidden="1" customHeight="1">
      <c r="F73" s="23"/>
      <c r="G73" s="39">
        <v>11</v>
      </c>
      <c r="H73" s="47">
        <f t="shared" si="6"/>
        <v>0</v>
      </c>
      <c r="I73" s="23"/>
      <c r="J73" s="33">
        <v>8</v>
      </c>
      <c r="K73" s="44">
        <f t="shared" si="7"/>
        <v>2.202</v>
      </c>
      <c r="L73" s="23"/>
      <c r="M73" s="23"/>
      <c r="N73" s="23"/>
      <c r="O73" s="39" t="s">
        <v>134</v>
      </c>
      <c r="P73" s="39">
        <f>AVERAGE(P62:P72)</f>
        <v>148.90909090909091</v>
      </c>
      <c r="Q73" s="39"/>
      <c r="R73" s="48" t="s">
        <v>144</v>
      </c>
      <c r="S73" s="48"/>
      <c r="T73" s="48">
        <f>T63+(T71*T70)</f>
        <v>56.133536272530705</v>
      </c>
    </row>
    <row r="74" spans="6:20" ht="33.950000000000003" hidden="1" customHeight="1">
      <c r="F74" s="23"/>
      <c r="G74" s="39">
        <v>12</v>
      </c>
      <c r="H74" s="47">
        <f t="shared" si="6"/>
        <v>0</v>
      </c>
      <c r="I74" s="23"/>
      <c r="J74" s="33">
        <v>9</v>
      </c>
      <c r="K74" s="44">
        <f t="shared" si="7"/>
        <v>0</v>
      </c>
      <c r="L74" s="23"/>
      <c r="M74" s="23"/>
      <c r="N74" s="23"/>
      <c r="O74" s="39" t="s">
        <v>25</v>
      </c>
      <c r="P74" s="39">
        <f>_xlfn.STDEV.S(P62:P72)</f>
        <v>57.810820000160085</v>
      </c>
      <c r="Q74" s="39"/>
    </row>
    <row r="75" spans="6:20" ht="3" hidden="1" customHeight="1">
      <c r="F75" s="23"/>
      <c r="G75" s="39">
        <v>13</v>
      </c>
      <c r="H75" s="47">
        <f t="shared" si="6"/>
        <v>0</v>
      </c>
      <c r="I75" s="23"/>
      <c r="J75" s="33">
        <v>10</v>
      </c>
      <c r="K75" s="44">
        <f t="shared" si="7"/>
        <v>0</v>
      </c>
      <c r="L75" s="23"/>
      <c r="M75" s="23"/>
      <c r="N75" s="23"/>
      <c r="O75" s="39" t="s">
        <v>133</v>
      </c>
      <c r="P75" s="39">
        <f>MIN(P62:P72)</f>
        <v>3</v>
      </c>
      <c r="Q75" s="39"/>
    </row>
    <row r="76" spans="6:20" ht="0.95" hidden="1" customHeight="1">
      <c r="F76" s="23"/>
      <c r="G76" s="39">
        <v>14</v>
      </c>
      <c r="H76" s="47">
        <f t="shared" si="6"/>
        <v>0</v>
      </c>
      <c r="I76" s="23"/>
      <c r="J76" s="33">
        <v>11</v>
      </c>
      <c r="K76" s="44">
        <f t="shared" si="7"/>
        <v>0</v>
      </c>
      <c r="L76" s="23"/>
      <c r="M76" s="23"/>
      <c r="N76" s="23"/>
      <c r="O76" s="39" t="s">
        <v>129</v>
      </c>
      <c r="P76" s="39">
        <f>(P73-P75)/P74</f>
        <v>2.5239062671777854</v>
      </c>
      <c r="Q76" s="39"/>
    </row>
    <row r="77" spans="6:20" ht="0.95" hidden="1" customHeight="1">
      <c r="F77" s="23"/>
      <c r="G77" s="39">
        <v>15</v>
      </c>
      <c r="H77" s="47">
        <f t="shared" si="6"/>
        <v>0</v>
      </c>
      <c r="I77" s="23"/>
      <c r="J77" s="33">
        <v>12</v>
      </c>
      <c r="K77" s="44">
        <f t="shared" si="7"/>
        <v>0</v>
      </c>
      <c r="L77" s="23"/>
      <c r="M77" s="23"/>
      <c r="N77" s="23"/>
      <c r="O77" s="39" t="s">
        <v>143</v>
      </c>
      <c r="P77" s="39">
        <v>0.05</v>
      </c>
      <c r="Q77" s="39"/>
    </row>
    <row r="78" spans="6:20" ht="0.95" hidden="1" customHeight="1">
      <c r="F78" s="23"/>
      <c r="G78" s="39">
        <v>16</v>
      </c>
      <c r="H78" s="47">
        <f t="shared" si="6"/>
        <v>0</v>
      </c>
      <c r="I78" s="23"/>
      <c r="J78" s="33">
        <v>13</v>
      </c>
      <c r="K78" s="44">
        <f t="shared" si="7"/>
        <v>0</v>
      </c>
      <c r="L78" s="23"/>
      <c r="M78" s="23"/>
      <c r="N78" s="23"/>
      <c r="O78" s="39" t="s">
        <v>128</v>
      </c>
      <c r="P78" s="39">
        <v>11</v>
      </c>
      <c r="Q78" s="46" t="s">
        <v>134</v>
      </c>
    </row>
    <row r="79" spans="6:20" ht="0.95" hidden="1" customHeight="1">
      <c r="F79" s="23"/>
      <c r="G79" s="23"/>
      <c r="H79" s="26"/>
      <c r="I79" s="23"/>
      <c r="J79" s="33">
        <v>14</v>
      </c>
      <c r="K79" s="44">
        <f t="shared" si="7"/>
        <v>0</v>
      </c>
      <c r="L79" s="23"/>
      <c r="M79" s="23"/>
      <c r="N79" s="23"/>
      <c r="O79" s="39" t="s">
        <v>140</v>
      </c>
      <c r="P79" s="39">
        <f>P77/P78</f>
        <v>4.5454545454545461E-3</v>
      </c>
      <c r="Q79" s="45" t="s">
        <v>25</v>
      </c>
    </row>
    <row r="80" spans="6:20" ht="0.95" hidden="1" customHeight="1">
      <c r="F80" s="23"/>
      <c r="G80" s="23"/>
      <c r="H80" s="26"/>
      <c r="I80" s="23"/>
      <c r="J80" s="33">
        <v>15</v>
      </c>
      <c r="K80" s="44">
        <f t="shared" si="7"/>
        <v>0</v>
      </c>
      <c r="L80" s="23"/>
      <c r="M80" s="23"/>
      <c r="N80" s="23"/>
      <c r="O80" s="39" t="s">
        <v>127</v>
      </c>
      <c r="P80" s="39">
        <f>P78-2</f>
        <v>9</v>
      </c>
      <c r="Q80" s="45" t="s">
        <v>133</v>
      </c>
    </row>
    <row r="81" spans="6:17" ht="0.95" hidden="1" customHeight="1">
      <c r="F81" s="23"/>
      <c r="G81" s="23"/>
      <c r="H81" s="23"/>
      <c r="I81" s="23"/>
      <c r="J81" s="33">
        <v>16</v>
      </c>
      <c r="K81" s="44">
        <f t="shared" si="7"/>
        <v>0</v>
      </c>
      <c r="L81" s="23"/>
      <c r="M81" s="23"/>
      <c r="N81" s="23"/>
      <c r="O81" s="39" t="s">
        <v>126</v>
      </c>
      <c r="P81" s="39">
        <f>_xlfn.T.INV(1-P79,P80)</f>
        <v>3.3095169292973794</v>
      </c>
      <c r="Q81" s="41" t="s">
        <v>142</v>
      </c>
    </row>
    <row r="82" spans="6:17" ht="0.95" hidden="1" customHeight="1">
      <c r="F82" s="23"/>
      <c r="G82" s="23"/>
      <c r="H82" s="23"/>
      <c r="I82" s="23"/>
      <c r="J82" s="31" t="s">
        <v>135</v>
      </c>
      <c r="K82" s="43">
        <v>0.05</v>
      </c>
      <c r="L82" s="23"/>
      <c r="M82" s="23"/>
      <c r="N82" s="23"/>
      <c r="O82" s="39" t="s">
        <v>125</v>
      </c>
      <c r="P82" s="39">
        <f>(P78-1)*P81/SQRT(P78*(P80+(P81^2)))</f>
        <v>2.2339077064682873</v>
      </c>
      <c r="Q82" s="41" t="s">
        <v>129</v>
      </c>
    </row>
    <row r="83" spans="6:17" ht="0.95" hidden="1" customHeight="1">
      <c r="F83" s="23"/>
      <c r="G83" s="23"/>
      <c r="H83" s="23"/>
      <c r="I83" s="23"/>
      <c r="J83" s="25" t="s">
        <v>134</v>
      </c>
      <c r="K83" s="42">
        <f>AVERAGE(K66:K81)</f>
        <v>1.1233124999999999</v>
      </c>
      <c r="L83" s="23"/>
      <c r="M83" s="23"/>
      <c r="N83" s="23"/>
      <c r="O83" s="39"/>
      <c r="P83" s="39"/>
      <c r="Q83" s="41" t="s">
        <v>135</v>
      </c>
    </row>
    <row r="84" spans="6:17" ht="0.95" hidden="1" customHeight="1">
      <c r="F84" s="23"/>
      <c r="G84" s="23"/>
      <c r="H84" s="23"/>
      <c r="I84" s="23"/>
      <c r="J84" s="25" t="s">
        <v>25</v>
      </c>
      <c r="K84" s="38">
        <f>_xlfn.STDEV.S(K66:K81)</f>
        <v>1.1602750087084239</v>
      </c>
      <c r="L84" s="23"/>
      <c r="M84" s="23"/>
      <c r="N84" s="23"/>
      <c r="O84" s="39"/>
      <c r="P84" s="39"/>
      <c r="Q84" s="41" t="s">
        <v>141</v>
      </c>
    </row>
    <row r="85" spans="6:17" ht="33.950000000000003" hidden="1" customHeight="1">
      <c r="F85" s="23"/>
      <c r="G85" s="23"/>
      <c r="H85" s="23"/>
      <c r="I85" s="23"/>
      <c r="J85" s="25" t="s">
        <v>133</v>
      </c>
      <c r="K85" s="42">
        <f>MIN(K66:K81)</f>
        <v>0</v>
      </c>
      <c r="L85" s="23"/>
      <c r="M85" s="23"/>
      <c r="N85" s="23"/>
      <c r="O85" s="39"/>
      <c r="P85" s="39"/>
      <c r="Q85" s="41" t="s">
        <v>140</v>
      </c>
    </row>
    <row r="86" spans="6:17" ht="33.950000000000003" hidden="1" customHeight="1">
      <c r="F86" s="23"/>
      <c r="G86" s="23"/>
      <c r="H86" s="23"/>
      <c r="I86" s="23"/>
      <c r="J86" s="25" t="s">
        <v>132</v>
      </c>
      <c r="K86" s="42">
        <f>MAX(K66:K81)</f>
        <v>2.29</v>
      </c>
      <c r="L86" s="23"/>
      <c r="M86" s="23"/>
      <c r="N86" s="23"/>
      <c r="O86" s="39"/>
      <c r="P86" s="39"/>
      <c r="Q86" s="41" t="s">
        <v>127</v>
      </c>
    </row>
    <row r="87" spans="6:17" ht="33.950000000000003" hidden="1" customHeight="1">
      <c r="F87" s="23"/>
      <c r="G87" s="23"/>
      <c r="H87" s="23"/>
      <c r="I87" s="23"/>
      <c r="J87" s="25" t="s">
        <v>131</v>
      </c>
      <c r="K87" s="40">
        <f>K83-K85</f>
        <v>1.1233124999999999</v>
      </c>
      <c r="L87" s="23"/>
      <c r="M87" s="23"/>
      <c r="N87" s="23"/>
      <c r="O87" s="39"/>
      <c r="P87" s="39"/>
      <c r="Q87" s="39" t="s">
        <v>126</v>
      </c>
    </row>
    <row r="88" spans="6:17" ht="33.950000000000003" hidden="1" customHeight="1">
      <c r="F88" s="23"/>
      <c r="G88" s="23"/>
      <c r="H88" s="23"/>
      <c r="I88" s="23"/>
      <c r="J88" s="25" t="s">
        <v>130</v>
      </c>
      <c r="K88" s="40">
        <f>K86-K83</f>
        <v>1.1666875000000001</v>
      </c>
      <c r="L88" s="23"/>
      <c r="M88" s="23"/>
      <c r="N88" s="23"/>
      <c r="O88" s="39"/>
      <c r="P88" s="39"/>
      <c r="Q88" s="39" t="s">
        <v>139</v>
      </c>
    </row>
    <row r="89" spans="6:17" ht="33.950000000000003" hidden="1" customHeight="1">
      <c r="F89" s="23"/>
      <c r="G89" s="23"/>
      <c r="H89" s="23"/>
      <c r="I89" s="23"/>
      <c r="J89" s="25" t="s">
        <v>129</v>
      </c>
      <c r="K89" s="38">
        <f>MAX(K87:K88)/K84</f>
        <v>1.0055266994836978</v>
      </c>
      <c r="L89" s="23"/>
      <c r="M89" s="23"/>
      <c r="N89" s="23"/>
      <c r="O89" s="39"/>
      <c r="P89" s="39"/>
      <c r="Q89" s="39"/>
    </row>
    <row r="90" spans="6:17" ht="33.950000000000003" hidden="1" customHeight="1">
      <c r="F90" s="23"/>
      <c r="G90" s="23"/>
      <c r="H90" s="23"/>
      <c r="I90" s="23"/>
      <c r="J90" s="25" t="s">
        <v>128</v>
      </c>
      <c r="K90" s="38">
        <f>COUNT(K66:K81)</f>
        <v>16</v>
      </c>
      <c r="L90" s="23"/>
      <c r="M90" s="23"/>
      <c r="N90" s="23"/>
      <c r="O90" s="39"/>
      <c r="P90" s="39"/>
      <c r="Q90" s="39"/>
    </row>
    <row r="91" spans="6:17" ht="33.950000000000003" hidden="1" customHeight="1">
      <c r="F91" s="23"/>
      <c r="G91" s="23"/>
      <c r="H91" s="23"/>
      <c r="I91" s="23"/>
      <c r="J91" s="25" t="s">
        <v>124</v>
      </c>
      <c r="K91" s="38">
        <f>K82/K90</f>
        <v>3.1250000000000002E-3</v>
      </c>
      <c r="L91" s="23"/>
      <c r="M91" s="23"/>
      <c r="N91" s="23"/>
      <c r="O91" s="39"/>
      <c r="P91" s="39"/>
      <c r="Q91" s="39"/>
    </row>
    <row r="92" spans="6:17" ht="33.950000000000003" hidden="1" customHeight="1">
      <c r="F92" s="23"/>
      <c r="G92" s="23"/>
      <c r="H92" s="23"/>
      <c r="I92" s="23"/>
      <c r="J92" s="25" t="s">
        <v>127</v>
      </c>
      <c r="K92" s="38">
        <f>K90-2</f>
        <v>14</v>
      </c>
      <c r="L92" s="23"/>
      <c r="M92" s="23"/>
      <c r="N92" s="23"/>
      <c r="O92" s="23"/>
      <c r="P92" s="23"/>
      <c r="Q92" s="23"/>
    </row>
    <row r="93" spans="6:17" ht="33.950000000000003" hidden="1" customHeight="1">
      <c r="F93" s="23"/>
      <c r="G93" s="23"/>
      <c r="H93" s="23"/>
      <c r="I93" s="23"/>
      <c r="J93" s="25" t="s">
        <v>126</v>
      </c>
      <c r="K93" s="38">
        <f>TINV(K91,K92)</f>
        <v>3.5620894950023954</v>
      </c>
      <c r="L93" s="23"/>
      <c r="M93" s="23"/>
      <c r="N93" s="23"/>
      <c r="O93" s="23"/>
      <c r="P93" s="23"/>
      <c r="Q93" s="23"/>
    </row>
    <row r="94" spans="6:17" ht="33.950000000000003" hidden="1" customHeight="1">
      <c r="F94" s="23"/>
      <c r="G94" s="23"/>
      <c r="H94" s="23"/>
      <c r="I94" s="23"/>
      <c r="J94" s="25" t="s">
        <v>125</v>
      </c>
      <c r="K94" s="38">
        <f>(K90-1)*K93/SQRT(K90*(K92+K93^2))</f>
        <v>2.5856763406719638</v>
      </c>
      <c r="L94" s="23"/>
      <c r="M94" s="23"/>
      <c r="N94" s="23"/>
      <c r="O94" s="23"/>
      <c r="P94" s="23"/>
      <c r="Q94" s="23"/>
    </row>
    <row r="95" spans="6:17" ht="33.950000000000003" hidden="1" customHeight="1">
      <c r="F95" s="23"/>
      <c r="G95" s="23"/>
      <c r="H95" s="23"/>
      <c r="I95" s="23"/>
      <c r="J95" s="25" t="s">
        <v>124</v>
      </c>
      <c r="K95" s="38" t="str">
        <f>IF(K89&gt;K94,"YES","NO")</f>
        <v>NO</v>
      </c>
      <c r="L95" s="23"/>
      <c r="M95" s="23"/>
      <c r="N95" s="23"/>
      <c r="O95" s="23"/>
      <c r="P95" s="23"/>
      <c r="Q95" s="23"/>
    </row>
    <row r="96" spans="6:17" ht="33.950000000000003" hidden="1" customHeight="1">
      <c r="F96" s="23"/>
      <c r="G96" s="23"/>
      <c r="H96" s="26"/>
      <c r="I96" s="23"/>
      <c r="J96" s="26"/>
      <c r="K96" s="23"/>
      <c r="L96" s="23"/>
      <c r="M96" s="23"/>
      <c r="N96" s="23"/>
      <c r="O96" s="23"/>
      <c r="P96" s="23"/>
      <c r="Q96" s="23"/>
    </row>
    <row r="97" spans="6:17" ht="33.950000000000003" hidden="1" customHeight="1">
      <c r="F97" s="23"/>
      <c r="G97" s="23"/>
      <c r="H97" s="29"/>
      <c r="I97" s="23"/>
      <c r="J97" s="37"/>
      <c r="K97" s="36" t="s">
        <v>138</v>
      </c>
      <c r="L97" s="23"/>
      <c r="M97" s="23"/>
      <c r="N97" s="23"/>
      <c r="O97" s="23"/>
      <c r="P97" s="23"/>
      <c r="Q97" s="23"/>
    </row>
    <row r="98" spans="6:17" ht="11.1" hidden="1" customHeight="1">
      <c r="F98" s="23"/>
      <c r="G98" s="23"/>
      <c r="H98" s="29"/>
      <c r="I98" s="23"/>
      <c r="J98" s="33">
        <v>1</v>
      </c>
      <c r="K98" s="32">
        <f t="shared" ref="K98:K112" si="8">K67</f>
        <v>2.2589999999999999</v>
      </c>
      <c r="L98" s="23"/>
      <c r="M98" s="23"/>
      <c r="N98" s="23"/>
      <c r="O98" s="23"/>
      <c r="P98" s="23"/>
      <c r="Q98" s="23"/>
    </row>
    <row r="99" spans="6:17" ht="0.95" hidden="1" customHeight="1">
      <c r="F99" s="23"/>
      <c r="G99" s="23"/>
      <c r="H99" s="29"/>
      <c r="I99" s="23"/>
      <c r="J99" s="33">
        <v>2</v>
      </c>
      <c r="K99" s="32">
        <f t="shared" si="8"/>
        <v>2.2519999999999998</v>
      </c>
      <c r="L99" s="23"/>
      <c r="M99" s="23"/>
      <c r="N99" s="23"/>
      <c r="O99" s="23"/>
      <c r="P99" s="23"/>
      <c r="Q99" s="23"/>
    </row>
    <row r="100" spans="6:17" ht="0.95" hidden="1" customHeight="1">
      <c r="F100" s="23"/>
      <c r="G100" s="23"/>
      <c r="H100" s="29"/>
      <c r="I100" s="23"/>
      <c r="J100" s="33">
        <v>3</v>
      </c>
      <c r="K100" s="32">
        <f t="shared" si="8"/>
        <v>2.2519999999999998</v>
      </c>
      <c r="L100" s="23"/>
      <c r="M100" s="23"/>
      <c r="N100" s="23"/>
      <c r="O100" s="23"/>
      <c r="P100" s="23"/>
      <c r="Q100" s="23"/>
    </row>
    <row r="101" spans="6:17" ht="0.95" hidden="1" customHeight="1">
      <c r="F101" s="23"/>
      <c r="G101" s="23"/>
      <c r="H101" s="29"/>
      <c r="I101" s="23"/>
      <c r="J101" s="33">
        <v>4</v>
      </c>
      <c r="K101" s="32">
        <f t="shared" si="8"/>
        <v>2.2429999999999999</v>
      </c>
      <c r="L101" s="23"/>
      <c r="M101" s="23"/>
      <c r="N101" s="23"/>
      <c r="O101" s="23"/>
      <c r="P101" s="23"/>
      <c r="Q101" s="23"/>
    </row>
    <row r="102" spans="6:17" ht="0.95" hidden="1" customHeight="1">
      <c r="F102" s="23"/>
      <c r="G102" s="23"/>
      <c r="H102" s="29"/>
      <c r="I102" s="23"/>
      <c r="J102" s="33">
        <v>5</v>
      </c>
      <c r="K102" s="32">
        <f t="shared" si="8"/>
        <v>2.2400000000000002</v>
      </c>
      <c r="L102" s="23"/>
      <c r="M102" s="23"/>
      <c r="N102" s="23"/>
      <c r="O102" s="23"/>
      <c r="P102" s="23"/>
      <c r="Q102" s="23"/>
    </row>
    <row r="103" spans="6:17" ht="0.95" hidden="1" customHeight="1">
      <c r="F103" s="23"/>
      <c r="G103" s="23"/>
      <c r="H103" s="29"/>
      <c r="I103" s="23"/>
      <c r="J103" s="33">
        <v>6</v>
      </c>
      <c r="K103" s="32">
        <f t="shared" si="8"/>
        <v>2.2349999999999999</v>
      </c>
      <c r="L103" s="23"/>
      <c r="M103" s="23"/>
      <c r="N103" s="23"/>
      <c r="O103" s="23"/>
      <c r="P103" s="23"/>
      <c r="Q103" s="23"/>
    </row>
    <row r="104" spans="6:17" ht="0.95" hidden="1" customHeight="1">
      <c r="F104" s="23"/>
      <c r="G104" s="23"/>
      <c r="H104" s="29"/>
      <c r="I104" s="23"/>
      <c r="J104" s="33">
        <v>7</v>
      </c>
      <c r="K104" s="32">
        <f t="shared" si="8"/>
        <v>2.202</v>
      </c>
      <c r="L104" s="23"/>
      <c r="M104" s="23"/>
      <c r="N104" s="23"/>
      <c r="O104" s="23"/>
      <c r="P104" s="23"/>
      <c r="Q104" s="23"/>
    </row>
    <row r="105" spans="6:17" ht="0.95" hidden="1" customHeight="1">
      <c r="F105" s="23"/>
      <c r="G105" s="23"/>
      <c r="H105" s="29"/>
      <c r="I105" s="23"/>
      <c r="J105" s="33">
        <v>8</v>
      </c>
      <c r="K105" s="32">
        <f t="shared" si="8"/>
        <v>0</v>
      </c>
      <c r="L105" s="23"/>
      <c r="M105" s="23"/>
      <c r="N105" s="23"/>
      <c r="O105" s="23"/>
      <c r="P105" s="23"/>
      <c r="Q105" s="23"/>
    </row>
    <row r="106" spans="6:17" ht="0.95" hidden="1" customHeight="1">
      <c r="F106" s="23"/>
      <c r="G106" s="23"/>
      <c r="H106" s="29"/>
      <c r="I106" s="23"/>
      <c r="J106" s="33">
        <v>9</v>
      </c>
      <c r="K106" s="32">
        <f t="shared" si="8"/>
        <v>0</v>
      </c>
      <c r="L106" s="23"/>
      <c r="M106" s="23"/>
      <c r="N106" s="23"/>
      <c r="O106" s="23"/>
      <c r="P106" s="23"/>
      <c r="Q106" s="23"/>
    </row>
    <row r="107" spans="6:17" ht="0.95" hidden="1" customHeight="1">
      <c r="F107" s="23"/>
      <c r="G107" s="23"/>
      <c r="H107" s="29"/>
      <c r="I107" s="23"/>
      <c r="J107" s="33">
        <v>10</v>
      </c>
      <c r="K107" s="32">
        <f t="shared" si="8"/>
        <v>0</v>
      </c>
      <c r="L107" s="23"/>
      <c r="M107" s="23"/>
      <c r="N107" s="23"/>
      <c r="O107" s="23"/>
      <c r="P107" s="23"/>
      <c r="Q107" s="23"/>
    </row>
    <row r="108" spans="6:17" ht="0.95" hidden="1" customHeight="1">
      <c r="F108" s="23"/>
      <c r="G108" s="23"/>
      <c r="H108" s="29"/>
      <c r="I108" s="23"/>
      <c r="J108" s="33">
        <v>11</v>
      </c>
      <c r="K108" s="32">
        <f t="shared" si="8"/>
        <v>0</v>
      </c>
      <c r="L108" s="23"/>
      <c r="M108" s="23"/>
      <c r="N108" s="23"/>
      <c r="O108" s="23"/>
      <c r="P108" s="23"/>
      <c r="Q108" s="23"/>
    </row>
    <row r="109" spans="6:17" ht="0.95" hidden="1" customHeight="1">
      <c r="F109" s="23"/>
      <c r="G109" s="23"/>
      <c r="H109" s="29"/>
      <c r="I109" s="23"/>
      <c r="J109" s="33">
        <v>12</v>
      </c>
      <c r="K109" s="32">
        <f t="shared" si="8"/>
        <v>0</v>
      </c>
      <c r="L109" s="23"/>
      <c r="M109" s="23"/>
      <c r="N109" s="23"/>
      <c r="O109" s="23"/>
      <c r="P109" s="23"/>
      <c r="Q109" s="23"/>
    </row>
    <row r="110" spans="6:17" ht="0.95" hidden="1" customHeight="1">
      <c r="F110" s="23"/>
      <c r="G110" s="23"/>
      <c r="H110" s="29"/>
      <c r="I110" s="23"/>
      <c r="J110" s="33">
        <v>13</v>
      </c>
      <c r="K110" s="32">
        <f t="shared" si="8"/>
        <v>0</v>
      </c>
      <c r="L110" s="23"/>
      <c r="M110" s="23"/>
      <c r="N110" s="23"/>
      <c r="O110" s="23"/>
      <c r="P110" s="23"/>
      <c r="Q110" s="23"/>
    </row>
    <row r="111" spans="6:17" ht="0.95" hidden="1" customHeight="1">
      <c r="F111" s="23"/>
      <c r="G111" s="23"/>
      <c r="H111" s="29"/>
      <c r="I111" s="23"/>
      <c r="J111" s="33">
        <v>14</v>
      </c>
      <c r="K111" s="32">
        <f t="shared" si="8"/>
        <v>0</v>
      </c>
      <c r="L111" s="23"/>
      <c r="M111" s="23"/>
      <c r="N111" s="23"/>
      <c r="O111" s="23"/>
      <c r="P111" s="23"/>
      <c r="Q111" s="23"/>
    </row>
    <row r="112" spans="6:17" ht="3" hidden="1" customHeight="1">
      <c r="F112" s="23"/>
      <c r="G112" s="23"/>
      <c r="H112" s="23"/>
      <c r="I112" s="23"/>
      <c r="J112" s="33">
        <v>15</v>
      </c>
      <c r="K112" s="32">
        <f t="shared" si="8"/>
        <v>0</v>
      </c>
      <c r="L112" s="23"/>
      <c r="M112" s="23"/>
      <c r="N112" s="23"/>
      <c r="O112" s="23"/>
      <c r="P112" s="23"/>
      <c r="Q112" s="23"/>
    </row>
    <row r="113" spans="6:17" ht="0.95" hidden="1" customHeight="1">
      <c r="F113" s="23"/>
      <c r="G113" s="23"/>
      <c r="H113" s="23"/>
      <c r="I113" s="23"/>
      <c r="J113" s="31" t="s">
        <v>135</v>
      </c>
      <c r="K113" s="30">
        <v>0.05</v>
      </c>
      <c r="L113" s="23"/>
      <c r="M113" s="23"/>
      <c r="N113" s="23"/>
      <c r="O113" s="23"/>
      <c r="P113" s="23"/>
      <c r="Q113" s="23"/>
    </row>
    <row r="114" spans="6:17" ht="0.95" hidden="1" customHeight="1">
      <c r="F114" s="23"/>
      <c r="G114" s="23"/>
      <c r="H114" s="23"/>
      <c r="I114" s="23"/>
      <c r="J114" s="25" t="s">
        <v>134</v>
      </c>
      <c r="K114" s="28">
        <f>AVERAGE(K98:K112)</f>
        <v>1.0455333333333332</v>
      </c>
      <c r="L114" s="23"/>
      <c r="M114" s="23"/>
      <c r="N114" s="23"/>
      <c r="O114" s="23"/>
      <c r="P114" s="23"/>
      <c r="Q114" s="23"/>
    </row>
    <row r="115" spans="6:17" ht="0.95" hidden="1" customHeight="1">
      <c r="F115" s="23"/>
      <c r="G115" s="23"/>
      <c r="H115" s="23"/>
      <c r="I115" s="23"/>
      <c r="J115" s="25" t="s">
        <v>25</v>
      </c>
      <c r="K115" s="24">
        <f>_xlfn.STDEV.S(K98:K112)</f>
        <v>1.1570179568100716</v>
      </c>
      <c r="L115" s="23"/>
      <c r="M115" s="23"/>
      <c r="N115" s="23"/>
      <c r="O115" s="23"/>
      <c r="P115" s="23"/>
      <c r="Q115" s="23"/>
    </row>
    <row r="116" spans="6:17" ht="0.95" hidden="1" customHeight="1">
      <c r="F116" s="23"/>
      <c r="G116" s="23"/>
      <c r="H116" s="23"/>
      <c r="I116" s="23"/>
      <c r="J116" s="25" t="s">
        <v>133</v>
      </c>
      <c r="K116" s="28">
        <f>MIN(K98:K112)</f>
        <v>0</v>
      </c>
      <c r="L116" s="23"/>
      <c r="M116" s="23"/>
      <c r="N116" s="23"/>
      <c r="O116" s="23"/>
      <c r="P116" s="23"/>
      <c r="Q116" s="23"/>
    </row>
    <row r="117" spans="6:17" ht="0.95" hidden="1" customHeight="1">
      <c r="F117" s="23"/>
      <c r="G117" s="23"/>
      <c r="H117" s="23"/>
      <c r="I117" s="23"/>
      <c r="J117" s="25" t="s">
        <v>132</v>
      </c>
      <c r="K117" s="28">
        <f>MAX(K98:K112)</f>
        <v>2.2589999999999999</v>
      </c>
      <c r="L117" s="23"/>
      <c r="M117" s="23"/>
      <c r="N117" s="23"/>
      <c r="O117" s="23"/>
      <c r="P117" s="23"/>
      <c r="Q117" s="23"/>
    </row>
    <row r="118" spans="6:17" ht="0.95" hidden="1" customHeight="1">
      <c r="F118" s="23"/>
      <c r="G118" s="23"/>
      <c r="H118" s="23"/>
      <c r="I118" s="23"/>
      <c r="J118" s="25" t="s">
        <v>131</v>
      </c>
      <c r="K118" s="27">
        <f>K114-K116</f>
        <v>1.0455333333333332</v>
      </c>
      <c r="L118" s="23"/>
      <c r="M118" s="23"/>
      <c r="N118" s="23"/>
      <c r="O118" s="23"/>
      <c r="P118" s="23"/>
      <c r="Q118" s="23"/>
    </row>
    <row r="119" spans="6:17" ht="0.95" hidden="1" customHeight="1">
      <c r="F119" s="23"/>
      <c r="G119" s="23"/>
      <c r="H119" s="23"/>
      <c r="I119" s="23"/>
      <c r="J119" s="25" t="s">
        <v>130</v>
      </c>
      <c r="K119" s="27">
        <f>K117-K114</f>
        <v>1.2134666666666667</v>
      </c>
      <c r="L119" s="23"/>
      <c r="M119" s="23"/>
      <c r="N119" s="23"/>
      <c r="O119" s="23"/>
      <c r="P119" s="23"/>
      <c r="Q119" s="23"/>
    </row>
    <row r="120" spans="6:17" ht="0.95" hidden="1" customHeight="1">
      <c r="F120" s="23"/>
      <c r="G120" s="23"/>
      <c r="H120" s="23"/>
      <c r="I120" s="23"/>
      <c r="J120" s="25" t="s">
        <v>129</v>
      </c>
      <c r="K120" s="24">
        <f>MAX(K118:K119)/K115</f>
        <v>1.0487881017959528</v>
      </c>
      <c r="L120" s="23"/>
      <c r="M120" s="23"/>
      <c r="N120" s="23"/>
      <c r="O120" s="23"/>
      <c r="P120" s="23"/>
      <c r="Q120" s="23"/>
    </row>
    <row r="121" spans="6:17" ht="0.95" hidden="1" customHeight="1">
      <c r="F121" s="23"/>
      <c r="G121" s="23"/>
      <c r="H121" s="23"/>
      <c r="I121" s="23"/>
      <c r="J121" s="25" t="s">
        <v>128</v>
      </c>
      <c r="K121" s="24">
        <f>COUNT(K97:K112)</f>
        <v>15</v>
      </c>
      <c r="L121" s="23"/>
      <c r="M121" s="23"/>
      <c r="N121" s="23"/>
      <c r="O121" s="23"/>
      <c r="P121" s="23"/>
      <c r="Q121" s="23"/>
    </row>
    <row r="122" spans="6:17" ht="0.95" hidden="1" customHeight="1">
      <c r="F122" s="23"/>
      <c r="G122" s="23"/>
      <c r="H122" s="23"/>
      <c r="I122" s="23"/>
      <c r="J122" s="25" t="s">
        <v>124</v>
      </c>
      <c r="K122" s="24">
        <f>K113/K121</f>
        <v>3.3333333333333335E-3</v>
      </c>
      <c r="L122" s="23"/>
      <c r="M122" s="23"/>
      <c r="N122" s="23"/>
      <c r="O122" s="23"/>
      <c r="P122" s="23"/>
      <c r="Q122" s="23"/>
    </row>
    <row r="123" spans="6:17" ht="0.95" hidden="1" customHeight="1">
      <c r="F123" s="23"/>
      <c r="G123" s="23"/>
      <c r="H123" s="23"/>
      <c r="I123" s="23"/>
      <c r="J123" s="25" t="s">
        <v>127</v>
      </c>
      <c r="K123" s="24">
        <f>K121-2</f>
        <v>13</v>
      </c>
      <c r="L123" s="23"/>
      <c r="M123" s="23"/>
      <c r="N123" s="23"/>
      <c r="O123" s="23"/>
      <c r="P123" s="23"/>
      <c r="Q123" s="23"/>
    </row>
    <row r="124" spans="6:17" ht="0.95" hidden="1" customHeight="1">
      <c r="F124" s="23"/>
      <c r="G124" s="23"/>
      <c r="H124" s="23"/>
      <c r="I124" s="23"/>
      <c r="J124" s="25" t="s">
        <v>126</v>
      </c>
      <c r="K124" s="24">
        <f>TINV(K122,K123)</f>
        <v>3.5838393924732448</v>
      </c>
      <c r="L124" s="23"/>
      <c r="M124" s="23"/>
      <c r="N124" s="23"/>
      <c r="O124" s="23"/>
      <c r="P124" s="23"/>
      <c r="Q124" s="23"/>
    </row>
    <row r="125" spans="6:17" ht="0.95" hidden="1" customHeight="1">
      <c r="F125" s="23"/>
      <c r="G125" s="23"/>
      <c r="H125" s="23"/>
      <c r="I125" s="23"/>
      <c r="J125" s="25" t="s">
        <v>125</v>
      </c>
      <c r="K125" s="24">
        <f>(K121-1)*K124/SQRT(K121*(K123+K124^2))</f>
        <v>2.5483077717433442</v>
      </c>
      <c r="L125" s="23"/>
      <c r="M125" s="23"/>
      <c r="N125" s="23"/>
      <c r="O125" s="23"/>
      <c r="P125" s="23"/>
      <c r="Q125" s="23"/>
    </row>
    <row r="126" spans="6:17" ht="0.95" hidden="1" customHeight="1">
      <c r="F126" s="23"/>
      <c r="G126" s="23"/>
      <c r="H126" s="23"/>
      <c r="I126" s="23"/>
      <c r="J126" s="25" t="s">
        <v>124</v>
      </c>
      <c r="K126" s="35" t="str">
        <f>IF(K120&gt;K125,"YES","NO")</f>
        <v>NO</v>
      </c>
      <c r="L126" s="23"/>
      <c r="M126" s="23"/>
      <c r="N126" s="23"/>
      <c r="O126" s="23"/>
      <c r="P126" s="23"/>
      <c r="Q126" s="23"/>
    </row>
    <row r="127" spans="6:17" ht="0.95" hidden="1" customHeight="1">
      <c r="F127" s="23"/>
      <c r="G127" s="23"/>
      <c r="H127" s="23"/>
      <c r="I127" s="23"/>
      <c r="J127" s="23"/>
      <c r="K127" s="23"/>
      <c r="L127" s="23"/>
      <c r="M127" s="23"/>
      <c r="N127" s="23"/>
      <c r="O127" s="23"/>
      <c r="P127" s="23"/>
      <c r="Q127" s="23"/>
    </row>
    <row r="128" spans="6:17" ht="0.95" hidden="1" customHeight="1">
      <c r="F128" s="23"/>
      <c r="G128" s="23"/>
      <c r="H128" s="23"/>
      <c r="I128" s="23"/>
      <c r="J128" s="34" t="s">
        <v>137</v>
      </c>
      <c r="K128" s="34" t="s">
        <v>136</v>
      </c>
      <c r="L128" s="23"/>
      <c r="M128" s="23"/>
      <c r="N128" s="23"/>
      <c r="O128" s="23"/>
      <c r="P128" s="23"/>
      <c r="Q128" s="23"/>
    </row>
    <row r="129" spans="6:17" ht="0.95" hidden="1" customHeight="1">
      <c r="F129" s="23"/>
      <c r="G129" s="23"/>
      <c r="H129" s="23"/>
      <c r="I129" s="23"/>
      <c r="J129" s="33">
        <v>1</v>
      </c>
      <c r="K129" s="32">
        <v>1.3660000000000001</v>
      </c>
      <c r="L129" s="23"/>
      <c r="M129" s="23"/>
      <c r="N129" s="23"/>
      <c r="O129" s="23"/>
      <c r="P129" s="23"/>
      <c r="Q129" s="23"/>
    </row>
    <row r="130" spans="6:17" ht="0.95" hidden="1" customHeight="1">
      <c r="F130" s="23"/>
      <c r="G130" s="23"/>
      <c r="H130" s="26"/>
      <c r="I130" s="23"/>
      <c r="J130" s="33">
        <v>2</v>
      </c>
      <c r="K130" s="32">
        <v>1.355</v>
      </c>
      <c r="L130" s="23"/>
      <c r="M130" s="23"/>
      <c r="N130" s="23"/>
      <c r="O130" s="23"/>
      <c r="P130" s="23"/>
      <c r="Q130" s="23"/>
    </row>
    <row r="131" spans="6:17" ht="12" hidden="1" customHeight="1">
      <c r="F131" s="23"/>
      <c r="G131" s="23"/>
      <c r="H131" s="29"/>
      <c r="I131" s="23"/>
      <c r="J131" s="33">
        <v>3</v>
      </c>
      <c r="K131" s="32">
        <v>1.345</v>
      </c>
      <c r="L131" s="23"/>
      <c r="M131" s="23"/>
      <c r="N131" s="23"/>
      <c r="O131" s="23"/>
      <c r="P131" s="23"/>
      <c r="Q131" s="23"/>
    </row>
    <row r="132" spans="6:17" ht="0.95" hidden="1" customHeight="1">
      <c r="F132" s="23"/>
      <c r="G132" s="23"/>
      <c r="H132" s="29"/>
      <c r="I132" s="23"/>
      <c r="J132" s="33">
        <v>4</v>
      </c>
      <c r="K132" s="32">
        <v>1.345</v>
      </c>
      <c r="L132" s="23"/>
      <c r="M132" s="23"/>
      <c r="N132" s="23"/>
      <c r="O132" s="23"/>
      <c r="P132" s="23"/>
      <c r="Q132" s="23"/>
    </row>
    <row r="133" spans="6:17" ht="14.1" hidden="1" customHeight="1">
      <c r="F133" s="23"/>
      <c r="G133" s="23"/>
      <c r="H133" s="29"/>
      <c r="I133" s="23"/>
      <c r="J133" s="33">
        <v>5</v>
      </c>
      <c r="K133" s="32">
        <v>1.3420000000000001</v>
      </c>
      <c r="L133" s="23"/>
      <c r="M133" s="23"/>
      <c r="N133" s="23"/>
      <c r="O133" s="23"/>
      <c r="P133" s="23"/>
      <c r="Q133" s="23"/>
    </row>
    <row r="134" spans="6:17" ht="0.95" hidden="1" customHeight="1">
      <c r="F134" s="23"/>
      <c r="G134" s="23"/>
      <c r="H134" s="29"/>
      <c r="I134" s="23"/>
      <c r="J134" s="33">
        <v>6</v>
      </c>
      <c r="K134" s="32">
        <v>1.341</v>
      </c>
      <c r="L134" s="23"/>
      <c r="M134" s="23"/>
      <c r="N134" s="23"/>
      <c r="O134" s="23"/>
      <c r="P134" s="23"/>
      <c r="Q134" s="23"/>
    </row>
    <row r="135" spans="6:17" ht="0.95" hidden="1" customHeight="1">
      <c r="F135" s="23"/>
      <c r="G135" s="23"/>
      <c r="H135" s="29"/>
      <c r="I135" s="23"/>
      <c r="J135" s="33">
        <v>7</v>
      </c>
      <c r="K135" s="32">
        <v>1.341</v>
      </c>
      <c r="L135" s="23"/>
      <c r="M135" s="23"/>
      <c r="N135" s="23"/>
      <c r="O135" s="23"/>
      <c r="P135" s="23"/>
      <c r="Q135" s="23"/>
    </row>
    <row r="136" spans="6:17" ht="0.95" hidden="1" customHeight="1">
      <c r="F136" s="23"/>
      <c r="G136" s="23"/>
      <c r="H136" s="29"/>
      <c r="I136" s="23"/>
      <c r="J136" s="33">
        <v>8</v>
      </c>
      <c r="K136" s="32">
        <v>1.34</v>
      </c>
      <c r="L136" s="23"/>
      <c r="M136" s="23"/>
      <c r="N136" s="23"/>
      <c r="O136" s="23"/>
      <c r="P136" s="23"/>
      <c r="Q136" s="23"/>
    </row>
    <row r="137" spans="6:17" ht="0.95" hidden="1" customHeight="1">
      <c r="F137" s="23"/>
      <c r="G137" s="23"/>
      <c r="H137" s="29"/>
      <c r="I137" s="23"/>
      <c r="J137" s="33">
        <v>9</v>
      </c>
      <c r="K137" s="32">
        <v>1.325</v>
      </c>
      <c r="L137" s="23"/>
      <c r="M137" s="23"/>
      <c r="N137" s="23"/>
      <c r="O137" s="23"/>
      <c r="P137" s="23"/>
      <c r="Q137" s="23"/>
    </row>
    <row r="138" spans="6:17" ht="0.95" hidden="1" customHeight="1">
      <c r="F138" s="23"/>
      <c r="G138" s="23"/>
      <c r="H138" s="29"/>
      <c r="I138" s="23"/>
      <c r="J138" s="33">
        <v>10</v>
      </c>
      <c r="K138" s="32">
        <v>1.321</v>
      </c>
      <c r="L138" s="23"/>
      <c r="M138" s="23"/>
      <c r="N138" s="23"/>
      <c r="O138" s="23"/>
      <c r="P138" s="23"/>
      <c r="Q138" s="23"/>
    </row>
    <row r="139" spans="6:17" ht="0.95" hidden="1" customHeight="1">
      <c r="F139" s="23"/>
      <c r="G139" s="23"/>
      <c r="H139" s="29"/>
      <c r="I139" s="23"/>
      <c r="J139" s="33">
        <v>11</v>
      </c>
      <c r="K139" s="32">
        <v>1.3</v>
      </c>
      <c r="L139" s="23"/>
      <c r="M139" s="23"/>
      <c r="N139" s="23"/>
      <c r="O139" s="23"/>
      <c r="P139" s="23"/>
      <c r="Q139" s="23"/>
    </row>
    <row r="140" spans="6:17" ht="0.95" hidden="1" customHeight="1">
      <c r="F140" s="23"/>
      <c r="G140" s="23"/>
      <c r="H140" s="29"/>
      <c r="I140" s="23"/>
      <c r="J140" s="33">
        <v>12</v>
      </c>
      <c r="K140" s="32">
        <v>1.2549999999999999</v>
      </c>
      <c r="L140" s="23"/>
      <c r="M140" s="23"/>
      <c r="N140" s="23"/>
      <c r="O140" s="23"/>
      <c r="P140" s="23"/>
      <c r="Q140" s="23"/>
    </row>
    <row r="141" spans="6:17" ht="0.95" hidden="1" customHeight="1">
      <c r="F141" s="23"/>
      <c r="G141" s="23"/>
      <c r="H141" s="29"/>
      <c r="I141" s="23"/>
      <c r="J141" s="33">
        <v>13</v>
      </c>
      <c r="K141" s="32">
        <v>1.234</v>
      </c>
      <c r="L141" s="23"/>
      <c r="M141" s="23"/>
      <c r="N141" s="23"/>
      <c r="O141" s="23"/>
      <c r="P141" s="23"/>
      <c r="Q141" s="23"/>
    </row>
    <row r="142" spans="6:17" ht="0.95" hidden="1" customHeight="1">
      <c r="F142" s="23"/>
      <c r="G142" s="23"/>
      <c r="H142" s="29"/>
      <c r="I142" s="23"/>
      <c r="J142" s="33">
        <v>14</v>
      </c>
      <c r="K142" s="32">
        <v>1.2</v>
      </c>
      <c r="L142" s="23"/>
      <c r="M142" s="23"/>
      <c r="N142" s="23"/>
      <c r="O142" s="23"/>
      <c r="P142" s="23"/>
      <c r="Q142" s="23"/>
    </row>
    <row r="143" spans="6:17" ht="0.95" hidden="1" customHeight="1">
      <c r="F143" s="23"/>
      <c r="G143" s="23"/>
      <c r="H143" s="29"/>
      <c r="I143" s="23"/>
      <c r="J143" s="31" t="s">
        <v>135</v>
      </c>
      <c r="K143" s="30">
        <v>0.05</v>
      </c>
      <c r="L143" s="23"/>
      <c r="M143" s="23"/>
      <c r="N143" s="23"/>
      <c r="O143" s="23"/>
      <c r="P143" s="23"/>
      <c r="Q143" s="23"/>
    </row>
    <row r="144" spans="6:17" ht="0.95" hidden="1" customHeight="1">
      <c r="F144" s="23"/>
      <c r="G144" s="23"/>
      <c r="H144" s="29"/>
      <c r="I144" s="23"/>
      <c r="J144" s="25" t="s">
        <v>134</v>
      </c>
      <c r="K144" s="28">
        <f>AVERAGE(K129:K142)</f>
        <v>1.3149999999999999</v>
      </c>
      <c r="L144" s="23"/>
      <c r="M144" s="23"/>
      <c r="N144" s="23"/>
      <c r="O144" s="23"/>
      <c r="P144" s="23"/>
      <c r="Q144" s="23"/>
    </row>
    <row r="145" spans="6:17" ht="0.95" hidden="1" customHeight="1">
      <c r="F145" s="23"/>
      <c r="G145" s="23"/>
      <c r="H145" s="26"/>
      <c r="I145" s="23"/>
      <c r="J145" s="25" t="s">
        <v>25</v>
      </c>
      <c r="K145" s="24">
        <f>_xlfn.STDEV.S(K129:K142)</f>
        <v>4.9964602855036691E-2</v>
      </c>
      <c r="L145" s="23"/>
      <c r="M145" s="23"/>
      <c r="N145" s="23"/>
      <c r="O145" s="23"/>
      <c r="P145" s="23"/>
      <c r="Q145" s="23"/>
    </row>
    <row r="146" spans="6:17" ht="2.1" hidden="1" customHeight="1">
      <c r="F146" s="23"/>
      <c r="G146" s="23"/>
      <c r="H146" s="26"/>
      <c r="I146" s="23"/>
      <c r="J146" s="25" t="s">
        <v>133</v>
      </c>
      <c r="K146" s="28">
        <f>MIN(K129:K142)</f>
        <v>1.2</v>
      </c>
      <c r="L146" s="23"/>
      <c r="M146" s="23"/>
      <c r="N146" s="23"/>
      <c r="O146" s="23"/>
      <c r="P146" s="23"/>
      <c r="Q146" s="23"/>
    </row>
    <row r="147" spans="6:17" ht="0.95" hidden="1" customHeight="1">
      <c r="F147" s="23"/>
      <c r="G147" s="23"/>
      <c r="H147" s="26"/>
      <c r="I147" s="23"/>
      <c r="J147" s="25" t="s">
        <v>132</v>
      </c>
      <c r="K147" s="28">
        <f>MAX(K129:K142)</f>
        <v>1.3660000000000001</v>
      </c>
      <c r="L147" s="23"/>
      <c r="M147" s="23"/>
      <c r="N147" s="23"/>
      <c r="O147" s="23"/>
      <c r="P147" s="23"/>
      <c r="Q147" s="23"/>
    </row>
    <row r="148" spans="6:17" ht="0.95" hidden="1" customHeight="1">
      <c r="F148" s="23"/>
      <c r="G148" s="23"/>
      <c r="H148" s="26"/>
      <c r="I148" s="23"/>
      <c r="J148" s="25" t="s">
        <v>131</v>
      </c>
      <c r="K148" s="27">
        <f>K144-K146</f>
        <v>0.11499999999999999</v>
      </c>
      <c r="L148" s="23"/>
      <c r="M148" s="23"/>
      <c r="N148" s="23"/>
      <c r="O148" s="23"/>
      <c r="P148" s="23"/>
      <c r="Q148" s="23"/>
    </row>
    <row r="149" spans="6:17" ht="0.95" hidden="1" customHeight="1">
      <c r="F149" s="23"/>
      <c r="G149" s="23"/>
      <c r="H149" s="26"/>
      <c r="I149" s="23"/>
      <c r="J149" s="25" t="s">
        <v>130</v>
      </c>
      <c r="K149" s="27">
        <f>K147-K144</f>
        <v>5.1000000000000156E-2</v>
      </c>
      <c r="L149" s="23"/>
      <c r="M149" s="23"/>
      <c r="N149" s="23"/>
      <c r="O149" s="23"/>
      <c r="P149" s="23"/>
      <c r="Q149" s="23"/>
    </row>
    <row r="150" spans="6:17" ht="0.95" hidden="1" customHeight="1">
      <c r="F150" s="23"/>
      <c r="G150" s="23"/>
      <c r="H150" s="26"/>
      <c r="I150" s="23"/>
      <c r="J150" s="25" t="s">
        <v>129</v>
      </c>
      <c r="K150" s="24">
        <f>MAX(K148:K149)/K145</f>
        <v>2.3016294222061928</v>
      </c>
      <c r="L150" s="23"/>
      <c r="M150" s="23"/>
      <c r="N150" s="23"/>
      <c r="O150" s="23"/>
      <c r="P150" s="23"/>
      <c r="Q150" s="23"/>
    </row>
    <row r="151" spans="6:17" ht="0.95" hidden="1" customHeight="1">
      <c r="F151" s="23"/>
      <c r="G151" s="23"/>
      <c r="H151" s="26"/>
      <c r="I151" s="23"/>
      <c r="J151" s="25" t="s">
        <v>128</v>
      </c>
      <c r="K151" s="24">
        <f>COUNT(F124:F139)</f>
        <v>0</v>
      </c>
      <c r="L151" s="23"/>
      <c r="M151" s="23"/>
      <c r="N151" s="23"/>
      <c r="O151" s="23"/>
      <c r="P151" s="23"/>
      <c r="Q151" s="23"/>
    </row>
    <row r="152" spans="6:17" ht="0.95" hidden="1" customHeight="1">
      <c r="F152" s="23"/>
      <c r="G152" s="23"/>
      <c r="H152" s="26"/>
      <c r="I152" s="23"/>
      <c r="J152" s="25" t="s">
        <v>124</v>
      </c>
      <c r="K152" s="24" t="e">
        <f>K143/K151</f>
        <v>#DIV/0!</v>
      </c>
      <c r="L152" s="23"/>
      <c r="M152" s="23"/>
      <c r="N152" s="23"/>
      <c r="O152" s="23"/>
      <c r="P152" s="23"/>
      <c r="Q152" s="23"/>
    </row>
    <row r="153" spans="6:17" ht="0.95" hidden="1" customHeight="1">
      <c r="F153" s="23"/>
      <c r="G153" s="23"/>
      <c r="H153" s="26"/>
      <c r="I153" s="23"/>
      <c r="J153" s="25" t="s">
        <v>127</v>
      </c>
      <c r="K153" s="24">
        <f>K151-2</f>
        <v>-2</v>
      </c>
      <c r="L153" s="23"/>
      <c r="M153" s="23"/>
      <c r="N153" s="23"/>
      <c r="O153" s="23"/>
      <c r="P153" s="23"/>
      <c r="Q153" s="23"/>
    </row>
    <row r="154" spans="6:17" ht="0.95" hidden="1" customHeight="1">
      <c r="F154" s="23"/>
      <c r="G154" s="23"/>
      <c r="H154" s="26"/>
      <c r="I154" s="23"/>
      <c r="J154" s="25" t="s">
        <v>126</v>
      </c>
      <c r="K154" s="24" t="e">
        <f>TINV(K152,K153)</f>
        <v>#DIV/0!</v>
      </c>
      <c r="L154" s="23"/>
      <c r="M154" s="23"/>
      <c r="N154" s="23"/>
      <c r="O154" s="23"/>
      <c r="P154" s="23"/>
      <c r="Q154" s="23"/>
    </row>
    <row r="155" spans="6:17" ht="0.95" hidden="1" customHeight="1">
      <c r="F155" s="23"/>
      <c r="G155" s="23"/>
      <c r="H155" s="26"/>
      <c r="I155" s="23"/>
      <c r="J155" s="25" t="s">
        <v>125</v>
      </c>
      <c r="K155" s="24" t="e">
        <f>(K151-1)*K154/SQRT(K151*(K153+K154^2))</f>
        <v>#DIV/0!</v>
      </c>
      <c r="L155" s="23"/>
      <c r="M155" s="23"/>
      <c r="N155" s="23"/>
      <c r="O155" s="23"/>
      <c r="P155" s="23"/>
      <c r="Q155" s="23"/>
    </row>
    <row r="156" spans="6:17" ht="0.95" hidden="1" customHeight="1">
      <c r="F156" s="23"/>
      <c r="G156" s="23"/>
      <c r="H156" s="26"/>
      <c r="I156" s="23"/>
      <c r="J156" s="25" t="s">
        <v>124</v>
      </c>
      <c r="K156" s="24" t="e">
        <f>IF(K150&gt;K155,"YES","NO")</f>
        <v>#DIV/0!</v>
      </c>
      <c r="L156" s="23"/>
      <c r="M156" s="23"/>
      <c r="N156" s="23"/>
      <c r="O156" s="23"/>
      <c r="P156" s="23"/>
      <c r="Q156" s="23"/>
    </row>
    <row r="157" spans="6:17" ht="3" hidden="1" customHeight="1">
      <c r="F157" s="23"/>
      <c r="G157" s="23"/>
      <c r="H157" s="23"/>
      <c r="I157" s="23"/>
      <c r="J157" s="23"/>
      <c r="K157" s="23"/>
      <c r="L157" s="23"/>
      <c r="M157" s="23"/>
      <c r="N157" s="23"/>
      <c r="O157" s="23"/>
      <c r="P157" s="23"/>
      <c r="Q157" s="23"/>
    </row>
    <row r="158" spans="6:17" ht="0.95" hidden="1" customHeight="1">
      <c r="F158" s="23"/>
      <c r="G158" s="23"/>
      <c r="H158" s="23"/>
      <c r="I158" s="23"/>
      <c r="J158" s="23"/>
      <c r="K158" s="23"/>
      <c r="L158" s="23"/>
      <c r="M158" s="23"/>
      <c r="N158" s="23"/>
      <c r="O158" s="23"/>
      <c r="P158" s="23"/>
      <c r="Q158" s="23"/>
    </row>
    <row r="159" spans="6:17" ht="20.100000000000001" customHeight="1">
      <c r="F159" s="23"/>
      <c r="G159" s="23"/>
      <c r="H159" s="23"/>
      <c r="I159" s="23"/>
      <c r="J159" s="23"/>
      <c r="K159" s="23"/>
      <c r="L159" s="23"/>
      <c r="M159" s="23"/>
      <c r="N159" s="23"/>
      <c r="O159" s="23"/>
      <c r="P159" s="23"/>
      <c r="Q159" s="23"/>
    </row>
    <row r="160" spans="6:17">
      <c r="F160" s="23"/>
      <c r="G160" s="23"/>
      <c r="H160" s="23"/>
      <c r="I160" s="23"/>
      <c r="J160" s="23"/>
      <c r="K160" s="23"/>
      <c r="L160" s="23"/>
      <c r="M160" s="23"/>
      <c r="N160" s="23"/>
      <c r="O160" s="23"/>
      <c r="P160" s="23"/>
      <c r="Q160" s="23"/>
    </row>
    <row r="161" spans="6:17">
      <c r="F161" s="23"/>
      <c r="G161" s="23"/>
      <c r="H161" s="23"/>
      <c r="I161" s="23"/>
      <c r="J161" s="23"/>
      <c r="K161" s="23"/>
      <c r="L161" s="23"/>
      <c r="M161" s="23"/>
      <c r="N161" s="23"/>
      <c r="O161" s="23"/>
      <c r="P161" s="23"/>
      <c r="Q161" s="23"/>
    </row>
    <row r="162" spans="6:17">
      <c r="F162" s="23"/>
      <c r="G162" s="23"/>
      <c r="H162" s="23"/>
      <c r="I162" s="23"/>
      <c r="J162" s="23"/>
      <c r="K162" s="23"/>
      <c r="L162" s="23"/>
      <c r="M162" s="23"/>
      <c r="N162" s="23"/>
      <c r="O162" s="23"/>
      <c r="P162" s="23"/>
      <c r="Q162" s="23"/>
    </row>
    <row r="163" spans="6:17">
      <c r="F163" s="23"/>
      <c r="G163" s="23"/>
      <c r="H163" s="23"/>
      <c r="I163" s="23"/>
      <c r="J163" s="23"/>
      <c r="K163" s="23"/>
      <c r="L163" s="23"/>
      <c r="M163" s="23"/>
      <c r="N163" s="23"/>
      <c r="O163" s="23"/>
      <c r="P163" s="23"/>
      <c r="Q163" s="23"/>
    </row>
    <row r="164" spans="6:17">
      <c r="F164" s="23"/>
      <c r="G164" s="23"/>
      <c r="H164" s="23"/>
      <c r="I164" s="23"/>
      <c r="J164" s="23"/>
      <c r="K164" s="23"/>
      <c r="L164" s="23"/>
      <c r="M164" s="23"/>
      <c r="N164" s="23"/>
      <c r="O164" s="23"/>
      <c r="P164" s="23"/>
      <c r="Q164" s="23"/>
    </row>
    <row r="165" spans="6:17">
      <c r="F165" s="23"/>
      <c r="G165" s="23"/>
      <c r="H165" s="23"/>
      <c r="I165" s="23"/>
      <c r="J165" s="23"/>
      <c r="K165" s="23"/>
      <c r="L165" s="23"/>
      <c r="M165" s="23"/>
      <c r="N165" s="23"/>
      <c r="O165" s="23"/>
      <c r="P165" s="23"/>
      <c r="Q165" s="23"/>
    </row>
    <row r="166" spans="6:17">
      <c r="F166" s="23"/>
      <c r="G166" s="23"/>
      <c r="H166" s="23"/>
      <c r="I166" s="23"/>
      <c r="J166" s="23"/>
      <c r="K166" s="23"/>
      <c r="L166" s="23"/>
      <c r="M166" s="23"/>
      <c r="N166" s="23"/>
      <c r="O166" s="23"/>
      <c r="P166" s="23"/>
      <c r="Q166" s="23"/>
    </row>
    <row r="167" spans="6:17">
      <c r="F167" s="23"/>
      <c r="G167" s="23"/>
      <c r="H167" s="23"/>
      <c r="I167" s="23"/>
      <c r="J167" s="23"/>
      <c r="K167" s="23"/>
      <c r="L167" s="23"/>
      <c r="M167" s="23"/>
      <c r="N167" s="23"/>
      <c r="O167" s="23"/>
      <c r="P167" s="23"/>
      <c r="Q167" s="23"/>
    </row>
    <row r="168" spans="6:17">
      <c r="F168" s="23"/>
      <c r="G168" s="23"/>
      <c r="H168" s="23"/>
      <c r="I168" s="23"/>
      <c r="J168" s="23"/>
      <c r="K168" s="23"/>
      <c r="L168" s="23"/>
      <c r="M168" s="23"/>
      <c r="N168" s="23"/>
      <c r="O168" s="23"/>
      <c r="P168" s="23"/>
      <c r="Q168" s="23"/>
    </row>
    <row r="169" spans="6:17">
      <c r="F169" s="23"/>
      <c r="G169" s="23"/>
      <c r="H169" s="23"/>
      <c r="I169" s="23"/>
      <c r="J169" s="23"/>
      <c r="K169" s="23"/>
      <c r="L169" s="23"/>
      <c r="M169" s="23"/>
      <c r="N169" s="23"/>
      <c r="O169" s="23"/>
      <c r="P169" s="23"/>
      <c r="Q169" s="23"/>
    </row>
  </sheetData>
  <sheetProtection algorithmName="SHA-512" hashValue="SLyHISxu/Sx7pmIxJv3oh8mXgrX1Suz1f0fill3sJMz6BoagN1Q4aDPOR6H9yFI1t8ZD8RUdJIXWimqdnlDFcw==" saltValue="45uHGmLP3SgrF2KJWI4CUQ==" spinCount="100000" sheet="1" selectLockedCells="1"/>
  <mergeCells count="28">
    <mergeCell ref="A1:A35"/>
    <mergeCell ref="N25:O25"/>
    <mergeCell ref="E2:F3"/>
    <mergeCell ref="M3:M36"/>
    <mergeCell ref="I32:J32"/>
    <mergeCell ref="N34:O34"/>
    <mergeCell ref="N36:O36"/>
    <mergeCell ref="B26:F29"/>
    <mergeCell ref="N26:P26"/>
    <mergeCell ref="N28:P28"/>
    <mergeCell ref="B2:C17"/>
    <mergeCell ref="B18:C24"/>
    <mergeCell ref="N33:P33"/>
    <mergeCell ref="N27:O27"/>
    <mergeCell ref="N29:O29"/>
    <mergeCell ref="N30:O30"/>
    <mergeCell ref="H3:H21"/>
    <mergeCell ref="S2:T2"/>
    <mergeCell ref="R3:R25"/>
    <mergeCell ref="S4:U4"/>
    <mergeCell ref="N2:P2"/>
    <mergeCell ref="I2:J2"/>
    <mergeCell ref="H24:H56"/>
    <mergeCell ref="I38:J38"/>
    <mergeCell ref="I39:J40"/>
    <mergeCell ref="I54:J54"/>
    <mergeCell ref="N31:O31"/>
    <mergeCell ref="N32:O32"/>
  </mergeCells>
  <conditionalFormatting sqref="J41 J43">
    <cfRule type="expression" dxfId="0" priority="2">
      <formula>#REF!=1</formula>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iconSet" priority="3" id="{1ACD751A-765F-4515-9958-4DC752E3A79D}">
            <x14:iconSet custom="1">
              <x14:cfvo type="percent">
                <xm:f>0</xm:f>
              </x14:cfvo>
              <x14:cfvo type="formula" gte="0">
                <xm:f>2</xm:f>
              </x14:cfvo>
              <x14:cfvo type="formula">
                <xm:f>17</xm:f>
              </x14:cfvo>
              <x14:cfIcon iconSet="4RedToBlack" iconId="3"/>
              <x14:cfIcon iconSet="NoIcons" iconId="0"/>
              <x14:cfIcon iconSet="NoIcons" iconId="0"/>
            </x14:iconSet>
          </x14:cfRule>
          <xm:sqref>K3:K19</xm:sqref>
        </x14:conditionalFormatting>
        <x14:conditionalFormatting xmlns:xm="http://schemas.microsoft.com/office/excel/2006/main">
          <x14:cfRule type="iconSet" priority="1" id="{59C412C3-D6E1-4329-B0C2-CAB422E6A3F1}">
            <x14:iconSet custom="1">
              <x14:cfvo type="percent">
                <xm:f>0</xm:f>
              </x14:cfvo>
              <x14:cfvo type="formula" gte="0">
                <xm:f>2</xm:f>
              </x14:cfvo>
              <x14:cfvo type="formula">
                <xm:f>17</xm:f>
              </x14:cfvo>
              <x14:cfIcon iconSet="4RedToBlack" iconId="3"/>
              <x14:cfIcon iconSet="NoIcons" iconId="0"/>
              <x14:cfIcon iconSet="NoIcons" iconId="0"/>
            </x14:iconSet>
          </x14:cfRule>
          <xm:sqref>K42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Numbers</vt:lpstr>
      <vt:lpstr>Seed Counts</vt:lpstr>
      <vt:lpstr>PW Calculator - Sorghum Set 1</vt:lpstr>
      <vt:lpstr>PW Calculator - Sorghum Set 2</vt:lpstr>
      <vt:lpstr>PW Calculator - Sor-Sud Set 1</vt:lpstr>
      <vt:lpstr>PW Calculator - Sor-Sud Set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Tyann Alexander</dc:creator>
  <cp:keywords/>
  <dc:description/>
  <cp:lastModifiedBy>Erickson, Todd - MRP-AMS</cp:lastModifiedBy>
  <cp:revision/>
  <dcterms:created xsi:type="dcterms:W3CDTF">2023-06-26T18:28:56Z</dcterms:created>
  <dcterms:modified xsi:type="dcterms:W3CDTF">2023-11-15T15:13:46Z</dcterms:modified>
  <cp:category/>
  <cp:contentStatus/>
</cp:coreProperties>
</file>